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Сайт\2024\stoyka_dlya_fotoelementa\"/>
    </mc:Choice>
  </mc:AlternateContent>
  <xr:revisionPtr revIDLastSave="0" documentId="13_ncr:1_{A007434F-4C7E-49CF-8C30-35CE8557EEC7}" xr6:coauthVersionLast="45" xr6:coauthVersionMax="45" xr10:uidLastSave="{00000000-0000-0000-0000-000000000000}"/>
  <bookViews>
    <workbookView xWindow="-120" yWindow="-120" windowWidth="29040" windowHeight="15840" xr2:uid="{00000000-000D-0000-FFFF-FFFF00000000}"/>
  </bookViews>
  <sheets>
    <sheet name="price_site_xls"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04" i="2" l="1"/>
  <c r="B1404" i="2"/>
  <c r="A1404" i="2"/>
  <c r="C1403" i="2"/>
  <c r="B1403" i="2"/>
  <c r="A1403" i="2"/>
  <c r="C1402" i="2"/>
  <c r="B1402" i="2"/>
  <c r="A1402" i="2"/>
  <c r="C1401" i="2"/>
  <c r="B1401" i="2"/>
  <c r="A1401" i="2"/>
  <c r="C1400" i="2"/>
  <c r="B1400" i="2"/>
  <c r="A1400" i="2"/>
  <c r="C1399" i="2"/>
  <c r="B1399" i="2"/>
  <c r="A1399" i="2"/>
  <c r="C1398" i="2"/>
  <c r="B1398" i="2"/>
  <c r="A1398" i="2"/>
  <c r="C1397" i="2"/>
  <c r="B1397" i="2"/>
  <c r="A1397" i="2"/>
  <c r="C1396" i="2"/>
  <c r="B1396" i="2"/>
  <c r="A1396" i="2"/>
  <c r="C1395" i="2"/>
  <c r="B1395" i="2"/>
  <c r="A1395" i="2"/>
  <c r="C1394" i="2"/>
  <c r="B1394" i="2"/>
  <c r="A1394" i="2"/>
  <c r="C1393" i="2"/>
  <c r="B1393" i="2"/>
  <c r="A1393" i="2"/>
  <c r="C1392" i="2"/>
  <c r="B1392" i="2"/>
  <c r="A1392" i="2"/>
  <c r="C1391" i="2"/>
  <c r="B1391" i="2"/>
  <c r="A1391" i="2"/>
  <c r="C1390" i="2"/>
  <c r="B1390" i="2"/>
  <c r="A1390" i="2"/>
  <c r="C1389" i="2"/>
  <c r="B1389" i="2"/>
  <c r="A1389" i="2"/>
  <c r="C1388" i="2"/>
  <c r="B1388" i="2"/>
  <c r="A1388" i="2"/>
  <c r="C1387" i="2"/>
  <c r="B1387" i="2"/>
  <c r="A1387" i="2"/>
  <c r="C1386" i="2"/>
  <c r="B1386" i="2"/>
  <c r="A1386" i="2"/>
  <c r="C1385" i="2"/>
  <c r="B1385" i="2"/>
  <c r="A1385" i="2"/>
  <c r="C1384" i="2"/>
  <c r="B1384" i="2"/>
  <c r="A1384" i="2"/>
  <c r="C1383" i="2"/>
  <c r="B1383" i="2"/>
  <c r="A1383" i="2"/>
  <c r="C1382" i="2"/>
  <c r="B1382" i="2"/>
  <c r="A1382" i="2"/>
  <c r="C1381" i="2"/>
  <c r="B1381" i="2"/>
  <c r="A1381" i="2"/>
  <c r="C1380" i="2"/>
  <c r="B1380" i="2"/>
  <c r="A1380" i="2"/>
  <c r="C1379" i="2"/>
  <c r="B1379" i="2"/>
  <c r="A1379" i="2"/>
  <c r="C1378" i="2"/>
  <c r="B1378" i="2"/>
  <c r="A1378" i="2"/>
  <c r="C1377" i="2"/>
  <c r="B1377" i="2"/>
  <c r="A1377" i="2"/>
  <c r="C1376" i="2"/>
  <c r="B1376" i="2"/>
  <c r="A1376" i="2"/>
  <c r="C1375" i="2"/>
  <c r="B1375" i="2"/>
  <c r="A1375" i="2"/>
  <c r="C1374" i="2"/>
  <c r="B1374" i="2"/>
  <c r="A1374" i="2"/>
  <c r="C1373" i="2"/>
  <c r="B1373" i="2"/>
  <c r="A1373" i="2"/>
  <c r="C1372" i="2"/>
  <c r="B1372" i="2"/>
  <c r="A1372" i="2"/>
  <c r="C1371" i="2"/>
  <c r="B1371" i="2"/>
  <c r="A1371" i="2"/>
  <c r="C1370" i="2"/>
  <c r="B1370" i="2"/>
  <c r="A1370" i="2"/>
  <c r="C1369" i="2"/>
  <c r="B1369" i="2"/>
  <c r="A1369" i="2"/>
  <c r="C1368" i="2"/>
  <c r="B1368" i="2"/>
  <c r="A1368" i="2"/>
  <c r="C1367" i="2"/>
  <c r="B1367" i="2"/>
  <c r="A1367" i="2"/>
  <c r="C1366" i="2"/>
  <c r="B1366" i="2"/>
  <c r="A1366" i="2"/>
  <c r="C1365" i="2"/>
  <c r="B1365" i="2"/>
  <c r="A1365" i="2"/>
  <c r="C1364" i="2"/>
  <c r="B1364" i="2"/>
  <c r="A1364" i="2"/>
  <c r="C1363" i="2"/>
  <c r="B1363" i="2"/>
  <c r="A1363" i="2"/>
  <c r="C1362" i="2"/>
  <c r="B1362" i="2"/>
  <c r="A1362" i="2"/>
  <c r="C1361" i="2"/>
  <c r="B1361" i="2"/>
  <c r="A1361" i="2"/>
  <c r="C1360" i="2"/>
  <c r="B1360" i="2"/>
  <c r="A1360" i="2"/>
  <c r="C1359" i="2"/>
  <c r="B1359" i="2"/>
  <c r="A1359" i="2"/>
  <c r="C1358" i="2"/>
  <c r="B1358" i="2"/>
  <c r="A1358" i="2"/>
  <c r="C1357" i="2"/>
  <c r="B1357" i="2"/>
  <c r="A1357" i="2"/>
  <c r="C1356" i="2"/>
  <c r="B1356" i="2"/>
  <c r="A1356" i="2"/>
  <c r="C1355" i="2"/>
  <c r="B1355" i="2"/>
  <c r="A1355" i="2"/>
  <c r="C1354" i="2"/>
  <c r="B1354" i="2"/>
  <c r="A1354" i="2"/>
  <c r="C1353" i="2"/>
  <c r="B1353" i="2"/>
  <c r="A1353" i="2"/>
  <c r="C1352" i="2"/>
  <c r="B1352" i="2"/>
  <c r="A1352" i="2"/>
  <c r="C1351" i="2"/>
  <c r="B1351" i="2"/>
  <c r="A1351" i="2"/>
  <c r="C1350" i="2"/>
  <c r="B1350" i="2"/>
  <c r="A1350" i="2"/>
  <c r="C1349" i="2"/>
  <c r="B1349" i="2"/>
  <c r="A1349" i="2"/>
  <c r="C1348" i="2"/>
  <c r="B1348" i="2"/>
  <c r="A1348" i="2"/>
  <c r="C1347" i="2"/>
  <c r="B1347" i="2"/>
  <c r="A1347" i="2"/>
  <c r="C1346" i="2"/>
  <c r="B1346" i="2"/>
  <c r="A1346" i="2"/>
  <c r="C1345" i="2"/>
  <c r="B1345" i="2"/>
  <c r="A1345" i="2"/>
  <c r="C1344" i="2"/>
  <c r="B1344" i="2"/>
  <c r="A1344" i="2"/>
  <c r="C1343" i="2"/>
  <c r="B1343" i="2"/>
  <c r="A1343" i="2"/>
  <c r="C1342" i="2"/>
  <c r="B1342" i="2"/>
  <c r="A1342" i="2"/>
  <c r="C1341" i="2"/>
  <c r="B1341" i="2"/>
  <c r="A1341" i="2"/>
  <c r="C1340" i="2"/>
  <c r="B1340" i="2"/>
  <c r="A1340" i="2"/>
  <c r="C1339" i="2"/>
  <c r="B1339" i="2"/>
  <c r="A1339" i="2"/>
  <c r="C1338" i="2"/>
  <c r="B1338" i="2"/>
  <c r="A1338" i="2"/>
  <c r="C1337" i="2"/>
  <c r="B1337" i="2"/>
  <c r="A1337" i="2"/>
  <c r="C1336" i="2"/>
  <c r="B1336" i="2"/>
  <c r="A1336" i="2"/>
  <c r="C1335" i="2"/>
  <c r="B1335" i="2"/>
  <c r="A1335" i="2"/>
  <c r="C1334" i="2"/>
  <c r="B1334" i="2"/>
  <c r="A1334" i="2"/>
  <c r="C1333" i="2"/>
  <c r="B1333" i="2"/>
  <c r="A1333" i="2"/>
  <c r="C1332" i="2"/>
  <c r="B1332" i="2"/>
  <c r="A1332" i="2"/>
  <c r="C1331" i="2"/>
  <c r="B1331" i="2"/>
  <c r="A1331" i="2"/>
  <c r="C1330" i="2"/>
  <c r="B1330" i="2"/>
  <c r="A1330" i="2"/>
  <c r="C1329" i="2"/>
  <c r="B1329" i="2"/>
  <c r="A1329" i="2"/>
  <c r="C1328" i="2"/>
  <c r="B1328" i="2"/>
  <c r="A1328" i="2"/>
  <c r="C1327" i="2"/>
  <c r="B1327" i="2"/>
  <c r="A1327" i="2"/>
  <c r="C1326" i="2"/>
  <c r="B1326" i="2"/>
  <c r="A1326" i="2"/>
  <c r="C1325" i="2"/>
  <c r="B1325" i="2"/>
  <c r="A1325" i="2"/>
  <c r="C1324" i="2"/>
  <c r="B1324" i="2"/>
  <c r="A1324" i="2"/>
  <c r="C1323" i="2"/>
  <c r="B1323" i="2"/>
  <c r="A1323" i="2"/>
  <c r="C1322" i="2"/>
  <c r="B1322" i="2"/>
  <c r="A1322" i="2"/>
  <c r="C1321" i="2"/>
  <c r="B1321" i="2"/>
  <c r="A1321" i="2"/>
  <c r="C1320" i="2"/>
  <c r="B1320" i="2"/>
  <c r="A1320" i="2"/>
  <c r="C1319" i="2"/>
  <c r="B1319" i="2"/>
  <c r="A1319" i="2"/>
  <c r="C1318" i="2"/>
  <c r="B1318" i="2"/>
  <c r="A1318" i="2"/>
  <c r="C1317" i="2"/>
  <c r="B1317" i="2"/>
  <c r="A1317" i="2"/>
  <c r="C1316" i="2"/>
  <c r="B1316" i="2"/>
  <c r="A1316" i="2"/>
  <c r="C1315" i="2"/>
  <c r="B1315" i="2"/>
  <c r="A1315" i="2"/>
  <c r="C1314" i="2"/>
  <c r="B1314" i="2"/>
  <c r="A1314" i="2"/>
  <c r="C1313" i="2"/>
  <c r="B1313" i="2"/>
  <c r="A1313" i="2"/>
  <c r="C1312" i="2"/>
  <c r="B1312" i="2"/>
  <c r="A1312" i="2"/>
  <c r="C1311" i="2"/>
  <c r="B1311" i="2"/>
  <c r="A1311" i="2"/>
  <c r="C1310" i="2"/>
  <c r="B1310" i="2"/>
  <c r="A1310" i="2"/>
  <c r="C1309" i="2"/>
  <c r="B1309" i="2"/>
  <c r="A1309" i="2"/>
  <c r="C1308" i="2"/>
  <c r="B1308" i="2"/>
  <c r="A1308" i="2"/>
  <c r="C1307" i="2"/>
  <c r="B1307" i="2"/>
  <c r="A1307" i="2"/>
  <c r="C1306" i="2"/>
  <c r="B1306" i="2"/>
  <c r="A1306" i="2"/>
  <c r="C1305" i="2"/>
  <c r="B1305" i="2"/>
  <c r="A1305" i="2"/>
  <c r="C1304" i="2"/>
  <c r="B1304" i="2"/>
  <c r="A1304" i="2"/>
  <c r="C1303" i="2"/>
  <c r="B1303" i="2"/>
  <c r="A1303" i="2"/>
  <c r="C1302" i="2"/>
  <c r="B1302" i="2"/>
  <c r="A1302" i="2"/>
  <c r="C1301" i="2"/>
  <c r="B1301" i="2"/>
  <c r="A1301" i="2"/>
  <c r="C1300" i="2"/>
  <c r="B1300" i="2"/>
  <c r="A1300" i="2"/>
  <c r="C1299" i="2"/>
  <c r="B1299" i="2"/>
  <c r="A1299" i="2"/>
  <c r="C1298" i="2"/>
  <c r="B1298" i="2"/>
  <c r="A1298" i="2"/>
  <c r="C1297" i="2"/>
  <c r="B1297" i="2"/>
  <c r="A1297" i="2"/>
  <c r="C1296" i="2"/>
  <c r="B1296" i="2"/>
  <c r="A1296" i="2"/>
  <c r="C1295" i="2"/>
  <c r="B1295" i="2"/>
  <c r="A1295" i="2"/>
  <c r="C1294" i="2"/>
  <c r="B1294" i="2"/>
  <c r="A1294" i="2"/>
  <c r="C1293" i="2"/>
  <c r="B1293" i="2"/>
  <c r="A1293" i="2"/>
  <c r="C1292" i="2"/>
  <c r="B1292" i="2"/>
  <c r="A1292" i="2"/>
  <c r="C1291" i="2"/>
  <c r="B1291" i="2"/>
  <c r="A1291" i="2"/>
  <c r="C1290" i="2"/>
  <c r="B1290" i="2"/>
  <c r="A1290" i="2"/>
  <c r="C1289" i="2"/>
  <c r="B1289" i="2"/>
  <c r="A1289" i="2"/>
  <c r="C1288" i="2"/>
  <c r="B1288" i="2"/>
  <c r="A1288" i="2"/>
  <c r="C1287" i="2"/>
  <c r="B1287" i="2"/>
  <c r="A1287" i="2"/>
  <c r="C1286" i="2"/>
  <c r="B1286" i="2"/>
  <c r="A1286" i="2"/>
  <c r="C1285" i="2"/>
  <c r="B1285" i="2"/>
  <c r="A1285" i="2"/>
  <c r="C1284" i="2"/>
  <c r="B1284" i="2"/>
  <c r="A1284" i="2"/>
  <c r="C1283" i="2"/>
  <c r="B1283" i="2"/>
  <c r="A1283" i="2"/>
  <c r="C1282" i="2"/>
  <c r="B1282" i="2"/>
  <c r="A1282" i="2"/>
  <c r="C1281" i="2"/>
  <c r="B1281" i="2"/>
  <c r="A1281" i="2"/>
  <c r="C1280" i="2"/>
  <c r="B1280" i="2"/>
  <c r="A1280" i="2"/>
  <c r="C1279" i="2"/>
  <c r="B1279" i="2"/>
  <c r="A1279" i="2"/>
  <c r="C1278" i="2"/>
  <c r="B1278" i="2"/>
  <c r="A1278" i="2"/>
  <c r="C1277" i="2"/>
  <c r="B1277" i="2"/>
  <c r="A1277" i="2"/>
  <c r="C1276" i="2"/>
  <c r="B1276" i="2"/>
  <c r="A1276" i="2"/>
  <c r="C1275" i="2"/>
  <c r="B1275" i="2"/>
  <c r="A1275" i="2"/>
  <c r="C1274" i="2"/>
  <c r="B1274" i="2"/>
  <c r="A1274" i="2"/>
  <c r="C1273" i="2"/>
  <c r="B1273" i="2"/>
  <c r="A1273" i="2"/>
  <c r="C1272" i="2"/>
  <c r="B1272" i="2"/>
  <c r="A1272" i="2"/>
  <c r="C1271" i="2"/>
  <c r="B1271" i="2"/>
  <c r="A1271" i="2"/>
  <c r="C1270" i="2"/>
  <c r="B1270" i="2"/>
  <c r="A1270" i="2"/>
  <c r="C1269" i="2"/>
  <c r="B1269" i="2"/>
  <c r="A1269" i="2"/>
  <c r="C1268" i="2"/>
  <c r="B1268" i="2"/>
  <c r="A1268" i="2"/>
  <c r="C1267" i="2"/>
  <c r="B1267" i="2"/>
  <c r="A1267" i="2"/>
  <c r="C1266" i="2"/>
  <c r="B1266" i="2"/>
  <c r="A1266" i="2"/>
  <c r="C1265" i="2"/>
  <c r="B1265" i="2"/>
  <c r="A1265" i="2"/>
  <c r="C1264" i="2"/>
  <c r="B1264" i="2"/>
  <c r="A1264" i="2"/>
  <c r="C1263" i="2"/>
  <c r="B1263" i="2"/>
  <c r="A1263" i="2"/>
  <c r="C1262" i="2"/>
  <c r="B1262" i="2"/>
  <c r="A1262" i="2"/>
  <c r="C1261" i="2"/>
  <c r="B1261" i="2"/>
  <c r="A1261" i="2"/>
  <c r="C1260" i="2"/>
  <c r="B1260" i="2"/>
  <c r="A1260" i="2"/>
  <c r="C1259" i="2"/>
  <c r="B1259" i="2"/>
  <c r="A1259" i="2"/>
  <c r="C1258" i="2"/>
  <c r="B1258" i="2"/>
  <c r="A1258" i="2"/>
  <c r="C1257" i="2"/>
  <c r="B1257" i="2"/>
  <c r="A1257" i="2"/>
  <c r="C1256" i="2"/>
  <c r="B1256" i="2"/>
  <c r="A1256" i="2"/>
  <c r="C1255" i="2"/>
  <c r="B1255" i="2"/>
  <c r="A1255" i="2"/>
  <c r="C1254" i="2"/>
  <c r="B1254" i="2"/>
  <c r="A1254" i="2"/>
  <c r="C1253" i="2"/>
  <c r="B1253" i="2"/>
  <c r="A1253" i="2"/>
  <c r="C1252" i="2"/>
  <c r="B1252" i="2"/>
  <c r="A1252" i="2"/>
  <c r="C1251" i="2"/>
  <c r="B1251" i="2"/>
  <c r="A1251" i="2"/>
  <c r="C1250" i="2"/>
  <c r="B1250" i="2"/>
  <c r="A1250" i="2"/>
  <c r="C1249" i="2"/>
  <c r="B1249" i="2"/>
  <c r="A1249" i="2"/>
  <c r="C1248" i="2"/>
  <c r="B1248" i="2"/>
  <c r="A1248" i="2"/>
  <c r="C1247" i="2"/>
  <c r="B1247" i="2"/>
  <c r="A1247" i="2"/>
  <c r="C1246" i="2"/>
  <c r="B1246" i="2"/>
  <c r="A1246" i="2"/>
  <c r="C1245" i="2"/>
  <c r="B1245" i="2"/>
  <c r="A1245" i="2"/>
  <c r="C1244" i="2"/>
  <c r="B1244" i="2"/>
  <c r="A1244" i="2"/>
  <c r="C1243" i="2"/>
  <c r="B1243" i="2"/>
  <c r="A1243" i="2"/>
  <c r="C1242" i="2"/>
  <c r="B1242" i="2"/>
  <c r="A1242" i="2"/>
  <c r="C1241" i="2"/>
  <c r="B1241" i="2"/>
  <c r="A1241" i="2"/>
  <c r="C1240" i="2"/>
  <c r="B1240" i="2"/>
  <c r="A1240" i="2"/>
  <c r="C1239" i="2"/>
  <c r="B1239" i="2"/>
  <c r="A1239" i="2"/>
  <c r="C1238" i="2"/>
  <c r="B1238" i="2"/>
  <c r="A1238" i="2"/>
  <c r="C1237" i="2"/>
  <c r="B1237" i="2"/>
  <c r="A1237" i="2"/>
  <c r="C1236" i="2"/>
  <c r="B1236" i="2"/>
  <c r="A1236" i="2"/>
  <c r="C1235" i="2"/>
  <c r="B1235" i="2"/>
  <c r="A1235" i="2"/>
  <c r="C1234" i="2"/>
  <c r="B1234" i="2"/>
  <c r="A1234" i="2"/>
  <c r="C1233" i="2"/>
  <c r="B1233" i="2"/>
  <c r="A1233" i="2"/>
  <c r="C1232" i="2"/>
  <c r="B1232" i="2"/>
  <c r="A1232" i="2"/>
  <c r="C1231" i="2"/>
  <c r="B1231" i="2"/>
  <c r="A1231" i="2"/>
  <c r="C1230" i="2"/>
  <c r="B1230" i="2"/>
  <c r="A1230" i="2"/>
  <c r="C1229" i="2"/>
  <c r="B1229" i="2"/>
  <c r="A1229" i="2"/>
  <c r="C1228" i="2"/>
  <c r="B1228" i="2"/>
  <c r="A1228" i="2"/>
  <c r="C1227" i="2"/>
  <c r="B1227" i="2"/>
  <c r="A1227" i="2"/>
  <c r="C1226" i="2"/>
  <c r="B1226" i="2"/>
  <c r="A1226" i="2"/>
  <c r="C1225" i="2"/>
  <c r="B1225" i="2"/>
  <c r="A1225" i="2"/>
  <c r="C1224" i="2"/>
  <c r="B1224" i="2"/>
  <c r="A1224" i="2"/>
  <c r="C1223" i="2"/>
  <c r="B1223" i="2"/>
  <c r="A1223" i="2"/>
  <c r="C1222" i="2"/>
  <c r="B1222" i="2"/>
  <c r="A1222" i="2"/>
  <c r="C1221" i="2"/>
  <c r="B1221" i="2"/>
  <c r="A1221" i="2"/>
  <c r="C1220" i="2"/>
  <c r="B1220" i="2"/>
  <c r="A1220" i="2"/>
  <c r="C1219" i="2"/>
  <c r="B1219" i="2"/>
  <c r="A1219" i="2"/>
  <c r="C1218" i="2"/>
  <c r="B1218" i="2"/>
  <c r="A1218" i="2"/>
  <c r="C1217" i="2"/>
  <c r="B1217" i="2"/>
  <c r="A1217" i="2"/>
  <c r="C1216" i="2"/>
  <c r="B1216" i="2"/>
  <c r="A1216" i="2"/>
  <c r="C1215" i="2"/>
  <c r="B1215" i="2"/>
  <c r="A1215" i="2"/>
  <c r="C1214" i="2"/>
  <c r="B1214" i="2"/>
  <c r="A1214" i="2"/>
  <c r="C1213" i="2"/>
  <c r="B1213" i="2"/>
  <c r="A1213" i="2"/>
  <c r="C1212" i="2"/>
  <c r="B1212" i="2"/>
  <c r="A1212" i="2"/>
  <c r="C1211" i="2"/>
  <c r="B1211" i="2"/>
  <c r="A1211" i="2"/>
  <c r="C1210" i="2"/>
  <c r="B1210" i="2"/>
  <c r="A1210" i="2"/>
  <c r="C1209" i="2"/>
  <c r="B1209" i="2"/>
  <c r="A1209" i="2"/>
  <c r="C1208" i="2"/>
  <c r="B1208" i="2"/>
  <c r="A1208" i="2"/>
  <c r="C1207" i="2"/>
  <c r="B1207" i="2"/>
  <c r="A1207" i="2"/>
  <c r="C1206" i="2"/>
  <c r="B1206" i="2"/>
  <c r="A1206" i="2"/>
  <c r="C1205" i="2"/>
  <c r="B1205" i="2"/>
  <c r="A1205" i="2"/>
  <c r="C1204" i="2"/>
  <c r="B1204" i="2"/>
  <c r="A1204" i="2"/>
  <c r="C1203" i="2"/>
  <c r="B1203" i="2"/>
  <c r="A1203" i="2"/>
  <c r="C1202" i="2"/>
  <c r="B1202" i="2"/>
  <c r="A1202" i="2"/>
  <c r="C1201" i="2"/>
  <c r="B1201" i="2"/>
  <c r="A1201" i="2"/>
  <c r="C1200" i="2"/>
  <c r="B1200" i="2"/>
  <c r="A1200" i="2"/>
  <c r="C1199" i="2"/>
  <c r="B1199" i="2"/>
  <c r="A1199" i="2"/>
  <c r="C1198" i="2"/>
  <c r="B1198" i="2"/>
  <c r="A1198" i="2"/>
  <c r="C1197" i="2"/>
  <c r="B1197" i="2"/>
  <c r="A1197" i="2"/>
  <c r="C1196" i="2"/>
  <c r="B1196" i="2"/>
  <c r="A1196" i="2"/>
  <c r="C1195" i="2"/>
  <c r="B1195" i="2"/>
  <c r="A1195" i="2"/>
  <c r="C1194" i="2"/>
  <c r="B1194" i="2"/>
  <c r="A1194" i="2"/>
  <c r="C1193" i="2"/>
  <c r="B1193" i="2"/>
  <c r="A1193" i="2"/>
  <c r="C1192" i="2"/>
  <c r="B1192" i="2"/>
  <c r="A1192" i="2"/>
  <c r="C1191" i="2"/>
  <c r="B1191" i="2"/>
  <c r="A1191" i="2"/>
  <c r="C1190" i="2"/>
  <c r="B1190" i="2"/>
  <c r="A1190" i="2"/>
  <c r="C1189" i="2"/>
  <c r="B1189" i="2"/>
  <c r="A1189" i="2"/>
  <c r="C1188" i="2"/>
  <c r="B1188" i="2"/>
  <c r="A1188" i="2"/>
  <c r="C1187" i="2"/>
  <c r="B1187" i="2"/>
  <c r="A1187" i="2"/>
  <c r="C1186" i="2"/>
  <c r="B1186" i="2"/>
  <c r="A1186" i="2"/>
  <c r="C1185" i="2"/>
  <c r="B1185" i="2"/>
  <c r="A1185" i="2"/>
  <c r="C1184" i="2"/>
  <c r="B1184" i="2"/>
  <c r="A1184" i="2"/>
  <c r="C1183" i="2"/>
  <c r="B1183" i="2"/>
  <c r="A1183" i="2"/>
  <c r="C1182" i="2"/>
  <c r="B1182" i="2"/>
  <c r="A1182" i="2"/>
  <c r="C1181" i="2"/>
  <c r="B1181" i="2"/>
  <c r="A1181" i="2"/>
  <c r="C1180" i="2"/>
  <c r="B1180" i="2"/>
  <c r="A1180" i="2"/>
  <c r="C1179" i="2"/>
  <c r="B1179" i="2"/>
  <c r="A1179" i="2"/>
  <c r="C1178" i="2"/>
  <c r="B1178" i="2"/>
  <c r="A1178" i="2"/>
  <c r="C1177" i="2"/>
  <c r="B1177" i="2"/>
  <c r="A1177" i="2"/>
  <c r="C1176" i="2"/>
  <c r="B1176" i="2"/>
  <c r="A1176" i="2"/>
  <c r="C1175" i="2"/>
  <c r="B1175" i="2"/>
  <c r="A1175" i="2"/>
  <c r="C1174" i="2"/>
  <c r="B1174" i="2"/>
  <c r="A1174" i="2"/>
  <c r="C1173" i="2"/>
  <c r="B1173" i="2"/>
  <c r="A1173" i="2"/>
  <c r="C1172" i="2"/>
  <c r="B1172" i="2"/>
  <c r="A1172" i="2"/>
  <c r="C1171" i="2"/>
  <c r="B1171" i="2"/>
  <c r="A1171" i="2"/>
  <c r="C1170" i="2"/>
  <c r="B1170" i="2"/>
  <c r="A1170" i="2"/>
  <c r="C1169" i="2"/>
  <c r="B1169" i="2"/>
  <c r="A1169" i="2"/>
  <c r="C1168" i="2"/>
  <c r="B1168" i="2"/>
  <c r="A1168" i="2"/>
  <c r="C1167" i="2"/>
  <c r="B1167" i="2"/>
  <c r="A1167" i="2"/>
  <c r="C1166" i="2"/>
  <c r="B1166" i="2"/>
  <c r="A1166" i="2"/>
  <c r="C1165" i="2"/>
  <c r="B1165" i="2"/>
  <c r="A1165" i="2"/>
  <c r="C1164" i="2"/>
  <c r="B1164" i="2"/>
  <c r="A1164" i="2"/>
  <c r="C1163" i="2"/>
  <c r="B1163" i="2"/>
  <c r="A1163" i="2"/>
  <c r="C1162" i="2"/>
  <c r="B1162" i="2"/>
  <c r="A1162" i="2"/>
  <c r="C1161" i="2"/>
  <c r="B1161" i="2"/>
  <c r="A1161" i="2"/>
  <c r="C1160" i="2"/>
  <c r="B1160" i="2"/>
  <c r="A1160" i="2"/>
  <c r="C1159" i="2"/>
  <c r="B1159" i="2"/>
  <c r="A1159" i="2"/>
  <c r="C1158" i="2"/>
  <c r="B1158" i="2"/>
  <c r="A1158" i="2"/>
  <c r="C1157" i="2"/>
  <c r="B1157" i="2"/>
  <c r="A1157" i="2"/>
  <c r="C1156" i="2"/>
  <c r="B1156" i="2"/>
  <c r="A1156" i="2"/>
  <c r="C1155" i="2"/>
  <c r="B1155" i="2"/>
  <c r="A1155" i="2"/>
  <c r="C1154" i="2"/>
  <c r="B1154" i="2"/>
  <c r="A1154" i="2"/>
  <c r="C1153" i="2"/>
  <c r="B1153" i="2"/>
  <c r="A1153" i="2"/>
  <c r="C1152" i="2"/>
  <c r="B1152" i="2"/>
  <c r="A1152" i="2"/>
  <c r="C1151" i="2"/>
  <c r="B1151" i="2"/>
  <c r="A1151" i="2"/>
  <c r="C1150" i="2"/>
  <c r="B1150" i="2"/>
  <c r="A1150" i="2"/>
  <c r="C1149" i="2"/>
  <c r="B1149" i="2"/>
  <c r="A1149" i="2"/>
  <c r="C1148" i="2"/>
  <c r="B1148" i="2"/>
  <c r="A1148" i="2"/>
  <c r="C1147" i="2"/>
  <c r="B1147" i="2"/>
  <c r="A1147" i="2"/>
  <c r="C1146" i="2"/>
  <c r="B1146" i="2"/>
  <c r="A1146" i="2"/>
  <c r="C1145" i="2"/>
  <c r="B1145" i="2"/>
  <c r="A1145" i="2"/>
  <c r="C1144" i="2"/>
  <c r="B1144" i="2"/>
  <c r="A1144" i="2"/>
  <c r="C1143" i="2"/>
  <c r="B1143" i="2"/>
  <c r="A1143" i="2"/>
  <c r="C1142" i="2"/>
  <c r="B1142" i="2"/>
  <c r="A1142" i="2"/>
  <c r="C1141" i="2"/>
  <c r="B1141" i="2"/>
  <c r="A1141" i="2"/>
  <c r="C1140" i="2"/>
  <c r="B1140" i="2"/>
  <c r="A1140" i="2"/>
  <c r="C1139" i="2"/>
  <c r="B1139" i="2"/>
  <c r="A1139" i="2"/>
  <c r="C1138" i="2"/>
  <c r="B1138" i="2"/>
  <c r="A1138" i="2"/>
  <c r="C1137" i="2"/>
  <c r="B1137" i="2"/>
  <c r="A1137" i="2"/>
  <c r="C1136" i="2"/>
  <c r="B1136" i="2"/>
  <c r="A1136" i="2"/>
  <c r="C1135" i="2"/>
  <c r="B1135" i="2"/>
  <c r="A1135" i="2"/>
  <c r="C1134" i="2"/>
  <c r="B1134" i="2"/>
  <c r="A1134" i="2"/>
  <c r="C1133" i="2"/>
  <c r="B1133" i="2"/>
  <c r="A1133" i="2"/>
  <c r="C1132" i="2"/>
  <c r="B1132" i="2"/>
  <c r="A1132" i="2"/>
  <c r="C1131" i="2"/>
  <c r="B1131" i="2"/>
  <c r="A1131" i="2"/>
  <c r="C1130" i="2"/>
  <c r="B1130" i="2"/>
  <c r="A1130" i="2"/>
  <c r="C1129" i="2"/>
  <c r="B1129" i="2"/>
  <c r="A1129" i="2"/>
  <c r="C1128" i="2"/>
  <c r="B1128" i="2"/>
  <c r="A1128" i="2"/>
  <c r="C1127" i="2"/>
  <c r="B1127" i="2"/>
  <c r="A1127" i="2"/>
  <c r="C1126" i="2"/>
  <c r="B1126" i="2"/>
  <c r="A1126" i="2"/>
  <c r="C1125" i="2"/>
  <c r="B1125" i="2"/>
  <c r="A1125" i="2"/>
  <c r="C1124" i="2"/>
  <c r="B1124" i="2"/>
  <c r="A1124" i="2"/>
  <c r="C1123" i="2"/>
  <c r="B1123" i="2"/>
  <c r="A1123" i="2"/>
  <c r="C1122" i="2"/>
  <c r="B1122" i="2"/>
  <c r="A1122" i="2"/>
  <c r="C1121" i="2"/>
  <c r="B1121" i="2"/>
  <c r="A1121" i="2"/>
  <c r="C1120" i="2"/>
  <c r="B1120" i="2"/>
  <c r="A1120" i="2"/>
  <c r="C1119" i="2"/>
  <c r="B1119" i="2"/>
  <c r="A1119" i="2"/>
  <c r="C1118" i="2"/>
  <c r="B1118" i="2"/>
  <c r="A1118" i="2"/>
  <c r="C1117" i="2"/>
  <c r="B1117" i="2"/>
  <c r="A1117" i="2"/>
  <c r="C1116" i="2"/>
  <c r="B1116" i="2"/>
  <c r="A1116" i="2"/>
  <c r="C1115" i="2"/>
  <c r="B1115" i="2"/>
  <c r="A1115" i="2"/>
  <c r="C1114" i="2"/>
  <c r="B1114" i="2"/>
  <c r="A1114" i="2"/>
  <c r="C1113" i="2"/>
  <c r="B1113" i="2"/>
  <c r="A1113" i="2"/>
  <c r="C1112" i="2"/>
  <c r="B1112" i="2"/>
  <c r="A1112" i="2"/>
  <c r="C1111" i="2"/>
  <c r="B1111" i="2"/>
  <c r="A1111" i="2"/>
  <c r="C1110" i="2"/>
  <c r="B1110" i="2"/>
  <c r="A1110" i="2"/>
  <c r="C1109" i="2"/>
  <c r="B1109" i="2"/>
  <c r="A1109" i="2"/>
  <c r="C1108" i="2"/>
  <c r="B1108" i="2"/>
  <c r="A1108" i="2"/>
  <c r="C1107" i="2"/>
  <c r="B1107" i="2"/>
  <c r="A1107" i="2"/>
  <c r="C1106" i="2"/>
  <c r="B1106" i="2"/>
  <c r="A1106" i="2"/>
  <c r="C1105" i="2"/>
  <c r="B1105" i="2"/>
  <c r="A1105" i="2"/>
  <c r="C1104" i="2"/>
  <c r="B1104" i="2"/>
  <c r="A1104" i="2"/>
  <c r="C1103" i="2"/>
  <c r="B1103" i="2"/>
  <c r="A1103" i="2"/>
  <c r="C1102" i="2"/>
  <c r="B1102" i="2"/>
  <c r="A1102" i="2"/>
  <c r="C1101" i="2"/>
  <c r="B1101" i="2"/>
  <c r="A1101" i="2"/>
  <c r="C1100" i="2"/>
  <c r="B1100" i="2"/>
  <c r="A1100" i="2"/>
  <c r="C1099" i="2"/>
  <c r="B1099" i="2"/>
  <c r="A1099" i="2"/>
  <c r="C1098" i="2"/>
  <c r="B1098" i="2"/>
  <c r="A1098" i="2"/>
  <c r="C1097" i="2"/>
  <c r="B1097" i="2"/>
  <c r="A1097" i="2"/>
  <c r="C1096" i="2"/>
  <c r="B1096" i="2"/>
  <c r="A1096" i="2"/>
  <c r="C1095" i="2"/>
  <c r="B1095" i="2"/>
  <c r="A1095" i="2"/>
  <c r="C1094" i="2"/>
  <c r="B1094" i="2"/>
  <c r="A1094" i="2"/>
  <c r="C1093" i="2"/>
  <c r="B1093" i="2"/>
  <c r="A1093" i="2"/>
  <c r="C1092" i="2"/>
  <c r="B1092" i="2"/>
  <c r="A1092" i="2"/>
  <c r="C1091" i="2"/>
  <c r="B1091" i="2"/>
  <c r="A1091" i="2"/>
  <c r="C1090" i="2"/>
  <c r="B1090" i="2"/>
  <c r="A1090" i="2"/>
  <c r="C1089" i="2"/>
  <c r="B1089" i="2"/>
  <c r="A1089" i="2"/>
  <c r="C1088" i="2"/>
  <c r="B1088" i="2"/>
  <c r="A1088" i="2"/>
  <c r="C1087" i="2"/>
  <c r="B1087" i="2"/>
  <c r="A1087" i="2"/>
  <c r="C1086" i="2"/>
  <c r="B1086" i="2"/>
  <c r="A1086" i="2"/>
  <c r="C1085" i="2"/>
  <c r="B1085" i="2"/>
  <c r="A1085" i="2"/>
  <c r="C1084" i="2"/>
  <c r="B1084" i="2"/>
  <c r="A1084" i="2"/>
  <c r="C1083" i="2"/>
  <c r="B1083" i="2"/>
  <c r="A1083" i="2"/>
  <c r="C1082" i="2"/>
  <c r="B1082" i="2"/>
  <c r="A1082" i="2"/>
  <c r="C1081" i="2"/>
  <c r="B1081" i="2"/>
  <c r="A1081" i="2"/>
  <c r="C1080" i="2"/>
  <c r="B1080" i="2"/>
  <c r="A1080" i="2"/>
  <c r="C1079" i="2"/>
  <c r="B1079" i="2"/>
  <c r="A1079" i="2"/>
  <c r="C1078" i="2"/>
  <c r="B1078" i="2"/>
  <c r="A1078" i="2"/>
  <c r="C1077" i="2"/>
  <c r="B1077" i="2"/>
  <c r="A1077" i="2"/>
  <c r="C1076" i="2"/>
  <c r="B1076" i="2"/>
  <c r="A1076" i="2"/>
  <c r="C1075" i="2"/>
  <c r="B1075" i="2"/>
  <c r="A1075" i="2"/>
  <c r="C1074" i="2"/>
  <c r="B1074" i="2"/>
  <c r="A1074" i="2"/>
  <c r="C1073" i="2"/>
  <c r="B1073" i="2"/>
  <c r="A1073" i="2"/>
  <c r="C1072" i="2"/>
  <c r="B1072" i="2"/>
  <c r="A1072" i="2"/>
  <c r="C1071" i="2"/>
  <c r="B1071" i="2"/>
  <c r="A1071" i="2"/>
  <c r="C1070" i="2"/>
  <c r="B1070" i="2"/>
  <c r="A1070" i="2"/>
  <c r="C1069" i="2"/>
  <c r="B1069" i="2"/>
  <c r="A1069" i="2"/>
  <c r="C1068" i="2"/>
  <c r="B1068" i="2"/>
  <c r="A1068" i="2"/>
  <c r="C1067" i="2"/>
  <c r="B1067" i="2"/>
  <c r="A1067" i="2"/>
  <c r="C1066" i="2"/>
  <c r="B1066" i="2"/>
  <c r="A1066" i="2"/>
  <c r="C1065" i="2"/>
  <c r="B1065" i="2"/>
  <c r="A1065" i="2"/>
  <c r="C1064" i="2"/>
  <c r="B1064" i="2"/>
  <c r="A1064" i="2"/>
  <c r="C1063" i="2"/>
  <c r="B1063" i="2"/>
  <c r="A1063" i="2"/>
  <c r="C1062" i="2"/>
  <c r="B1062" i="2"/>
  <c r="A1062" i="2"/>
  <c r="C1061" i="2"/>
  <c r="B1061" i="2"/>
  <c r="A1061" i="2"/>
  <c r="C1060" i="2"/>
  <c r="B1060" i="2"/>
  <c r="A1060" i="2"/>
  <c r="C1059" i="2"/>
  <c r="B1059" i="2"/>
  <c r="A1059" i="2"/>
  <c r="C1058" i="2"/>
  <c r="B1058" i="2"/>
  <c r="A1058" i="2"/>
  <c r="C1057" i="2"/>
  <c r="B1057" i="2"/>
  <c r="A1057" i="2"/>
  <c r="C1056" i="2"/>
  <c r="B1056" i="2"/>
  <c r="A1056" i="2"/>
  <c r="C1055" i="2"/>
  <c r="B1055" i="2"/>
  <c r="A1055" i="2"/>
  <c r="C1054" i="2"/>
  <c r="B1054" i="2"/>
  <c r="A1054" i="2"/>
  <c r="C1053" i="2"/>
  <c r="B1053" i="2"/>
  <c r="A1053" i="2"/>
  <c r="C1052" i="2"/>
  <c r="B1052" i="2"/>
  <c r="A1052" i="2"/>
  <c r="C1051" i="2"/>
  <c r="B1051" i="2"/>
  <c r="A1051" i="2"/>
  <c r="C1050" i="2"/>
  <c r="B1050" i="2"/>
  <c r="A1050" i="2"/>
  <c r="C1049" i="2"/>
  <c r="B1049" i="2"/>
  <c r="A1049" i="2"/>
  <c r="C1048" i="2"/>
  <c r="B1048" i="2"/>
  <c r="A1048" i="2"/>
  <c r="C1047" i="2"/>
  <c r="B1047" i="2"/>
  <c r="A1047" i="2"/>
  <c r="C1046" i="2"/>
  <c r="B1046" i="2"/>
  <c r="A1046" i="2"/>
  <c r="C1045" i="2"/>
  <c r="B1045" i="2"/>
  <c r="A1045" i="2"/>
  <c r="C1044" i="2"/>
  <c r="B1044" i="2"/>
  <c r="A1044" i="2"/>
  <c r="C1043" i="2"/>
  <c r="B1043" i="2"/>
  <c r="A1043" i="2"/>
  <c r="C1042" i="2"/>
  <c r="B1042" i="2"/>
  <c r="A1042" i="2"/>
  <c r="C1041" i="2"/>
  <c r="B1041" i="2"/>
  <c r="A1041" i="2"/>
  <c r="C1040" i="2"/>
  <c r="B1040" i="2"/>
  <c r="A1040" i="2"/>
  <c r="C1039" i="2"/>
  <c r="B1039" i="2"/>
  <c r="A1039" i="2"/>
  <c r="C1038" i="2"/>
  <c r="B1038" i="2"/>
  <c r="A1038" i="2"/>
  <c r="C1037" i="2"/>
  <c r="B1037" i="2"/>
  <c r="A1037" i="2"/>
  <c r="C1036" i="2"/>
  <c r="B1036" i="2"/>
  <c r="A1036" i="2"/>
  <c r="C1035" i="2"/>
  <c r="B1035" i="2"/>
  <c r="A1035" i="2"/>
  <c r="C1034" i="2"/>
  <c r="B1034" i="2"/>
  <c r="A1034" i="2"/>
  <c r="C1033" i="2"/>
  <c r="B1033" i="2"/>
  <c r="A1033" i="2"/>
  <c r="C1032" i="2"/>
  <c r="B1032" i="2"/>
  <c r="A1032" i="2"/>
  <c r="C1031" i="2"/>
  <c r="B1031" i="2"/>
  <c r="A1031" i="2"/>
  <c r="C1030" i="2"/>
  <c r="B1030" i="2"/>
  <c r="A1030" i="2"/>
  <c r="C1029" i="2"/>
  <c r="B1029" i="2"/>
  <c r="A1029" i="2"/>
  <c r="C1028" i="2"/>
  <c r="B1028" i="2"/>
  <c r="A1028" i="2"/>
  <c r="C1027" i="2"/>
  <c r="B1027" i="2"/>
  <c r="A1027" i="2"/>
  <c r="C1026" i="2"/>
  <c r="B1026" i="2"/>
  <c r="A1026" i="2"/>
  <c r="C1025" i="2"/>
  <c r="B1025" i="2"/>
  <c r="A1025" i="2"/>
  <c r="C1024" i="2"/>
  <c r="B1024" i="2"/>
  <c r="A1024" i="2"/>
  <c r="C1023" i="2"/>
  <c r="B1023" i="2"/>
  <c r="A1023" i="2"/>
  <c r="C1022" i="2"/>
  <c r="B1022" i="2"/>
  <c r="A1022" i="2"/>
  <c r="C1021" i="2"/>
  <c r="B1021" i="2"/>
  <c r="A1021" i="2"/>
  <c r="C1020" i="2"/>
  <c r="B1020" i="2"/>
  <c r="A1020" i="2"/>
  <c r="C1019" i="2"/>
  <c r="B1019" i="2"/>
  <c r="A1019" i="2"/>
  <c r="C1018" i="2"/>
  <c r="B1018" i="2"/>
  <c r="A1018" i="2"/>
  <c r="C1017" i="2"/>
  <c r="B1017" i="2"/>
  <c r="A1017" i="2"/>
  <c r="C1016" i="2"/>
  <c r="B1016" i="2"/>
  <c r="A1016" i="2"/>
  <c r="C1015" i="2"/>
  <c r="B1015" i="2"/>
  <c r="A1015" i="2"/>
  <c r="C1014" i="2"/>
  <c r="B1014" i="2"/>
  <c r="A1014" i="2"/>
  <c r="C1013" i="2"/>
  <c r="B1013" i="2"/>
  <c r="A1013" i="2"/>
  <c r="C1012" i="2"/>
  <c r="B1012" i="2"/>
  <c r="A1012" i="2"/>
  <c r="C1011" i="2"/>
  <c r="B1011" i="2"/>
  <c r="A1011" i="2"/>
  <c r="C1010" i="2"/>
  <c r="B1010" i="2"/>
  <c r="A1010" i="2"/>
  <c r="C1009" i="2"/>
  <c r="B1009" i="2"/>
  <c r="A1009" i="2"/>
  <c r="C1008" i="2"/>
  <c r="B1008" i="2"/>
  <c r="A1008" i="2"/>
  <c r="C1007" i="2"/>
  <c r="B1007" i="2"/>
  <c r="A1007" i="2"/>
  <c r="C1006" i="2"/>
  <c r="B1006" i="2"/>
  <c r="A1006" i="2"/>
  <c r="C1005" i="2"/>
  <c r="B1005" i="2"/>
  <c r="A1005" i="2"/>
  <c r="C1004" i="2"/>
  <c r="B1004" i="2"/>
  <c r="A1004" i="2"/>
  <c r="C1003" i="2"/>
  <c r="B1003" i="2"/>
  <c r="A1003" i="2"/>
  <c r="C1002" i="2"/>
  <c r="B1002" i="2"/>
  <c r="A1002" i="2"/>
  <c r="C1001" i="2"/>
  <c r="B1001" i="2"/>
  <c r="A1001" i="2"/>
  <c r="C1000" i="2"/>
  <c r="B1000" i="2"/>
  <c r="A1000" i="2"/>
  <c r="C999" i="2"/>
  <c r="B999" i="2"/>
  <c r="A999" i="2"/>
  <c r="C998" i="2"/>
  <c r="B998" i="2"/>
  <c r="A998" i="2"/>
  <c r="C997" i="2"/>
  <c r="B997" i="2"/>
  <c r="A997" i="2"/>
  <c r="C996" i="2"/>
  <c r="B996" i="2"/>
  <c r="A996" i="2"/>
  <c r="C995" i="2"/>
  <c r="B995" i="2"/>
  <c r="A995" i="2"/>
  <c r="C994" i="2"/>
  <c r="B994" i="2"/>
  <c r="A994" i="2"/>
  <c r="C993" i="2"/>
  <c r="B993" i="2"/>
  <c r="A993" i="2"/>
  <c r="C992" i="2"/>
  <c r="B992" i="2"/>
  <c r="A992" i="2"/>
  <c r="C991" i="2"/>
  <c r="B991" i="2"/>
  <c r="A991" i="2"/>
  <c r="C990" i="2"/>
  <c r="B990" i="2"/>
  <c r="A990" i="2"/>
  <c r="C989" i="2"/>
  <c r="B989" i="2"/>
  <c r="A989" i="2"/>
  <c r="C988" i="2"/>
  <c r="B988" i="2"/>
  <c r="A988" i="2"/>
  <c r="C987" i="2"/>
  <c r="B987" i="2"/>
  <c r="A987" i="2"/>
  <c r="C986" i="2"/>
  <c r="B986" i="2"/>
  <c r="A986" i="2"/>
  <c r="C985" i="2"/>
  <c r="B985" i="2"/>
  <c r="A985" i="2"/>
  <c r="C984" i="2"/>
  <c r="B984" i="2"/>
  <c r="A984" i="2"/>
  <c r="C983" i="2"/>
  <c r="B983" i="2"/>
  <c r="A983" i="2"/>
  <c r="C982" i="2"/>
  <c r="B982" i="2"/>
  <c r="A982" i="2"/>
  <c r="C981" i="2"/>
  <c r="B981" i="2"/>
  <c r="A981" i="2"/>
  <c r="C980" i="2"/>
  <c r="B980" i="2"/>
  <c r="A980" i="2"/>
  <c r="C979" i="2"/>
  <c r="B979" i="2"/>
  <c r="A979" i="2"/>
  <c r="C978" i="2"/>
  <c r="B978" i="2"/>
  <c r="A978" i="2"/>
  <c r="C977" i="2"/>
  <c r="B977" i="2"/>
  <c r="A977" i="2"/>
  <c r="C976" i="2"/>
  <c r="B976" i="2"/>
  <c r="A976" i="2"/>
  <c r="C975" i="2"/>
  <c r="B975" i="2"/>
  <c r="A975" i="2"/>
  <c r="C974" i="2"/>
  <c r="B974" i="2"/>
  <c r="A974" i="2"/>
  <c r="C973" i="2"/>
  <c r="B973" i="2"/>
  <c r="A973" i="2"/>
  <c r="C972" i="2"/>
  <c r="B972" i="2"/>
  <c r="A972" i="2"/>
  <c r="C971" i="2"/>
  <c r="B971" i="2"/>
  <c r="A971" i="2"/>
  <c r="C970" i="2"/>
  <c r="B970" i="2"/>
  <c r="A970" i="2"/>
  <c r="C969" i="2"/>
  <c r="B969" i="2"/>
  <c r="A969" i="2"/>
  <c r="C968" i="2"/>
  <c r="B968" i="2"/>
  <c r="A968" i="2"/>
  <c r="C967" i="2"/>
  <c r="B967" i="2"/>
  <c r="A967" i="2"/>
  <c r="C966" i="2"/>
  <c r="B966" i="2"/>
  <c r="A966" i="2"/>
  <c r="C965" i="2"/>
  <c r="B965" i="2"/>
  <c r="A965" i="2"/>
  <c r="C964" i="2"/>
  <c r="B964" i="2"/>
  <c r="A964" i="2"/>
  <c r="C963" i="2"/>
  <c r="B963" i="2"/>
  <c r="A963" i="2"/>
  <c r="C962" i="2"/>
  <c r="B962" i="2"/>
  <c r="A962" i="2"/>
  <c r="C961" i="2"/>
  <c r="B961" i="2"/>
  <c r="A961" i="2"/>
  <c r="C960" i="2"/>
  <c r="B960" i="2"/>
  <c r="A960" i="2"/>
  <c r="C959" i="2"/>
  <c r="B959" i="2"/>
  <c r="A959" i="2"/>
  <c r="C958" i="2"/>
  <c r="B958" i="2"/>
  <c r="A958" i="2"/>
  <c r="C957" i="2"/>
  <c r="B957" i="2"/>
  <c r="A957" i="2"/>
  <c r="C956" i="2"/>
  <c r="B956" i="2"/>
  <c r="A956" i="2"/>
  <c r="C955" i="2"/>
  <c r="B955" i="2"/>
  <c r="A955" i="2"/>
  <c r="C954" i="2"/>
  <c r="B954" i="2"/>
  <c r="A954" i="2"/>
  <c r="C953" i="2"/>
  <c r="B953" i="2"/>
  <c r="A953" i="2"/>
  <c r="C952" i="2"/>
  <c r="B952" i="2"/>
  <c r="A952" i="2"/>
  <c r="C951" i="2"/>
  <c r="B951" i="2"/>
  <c r="A951" i="2"/>
  <c r="C950" i="2"/>
  <c r="B950" i="2"/>
  <c r="A950" i="2"/>
  <c r="C949" i="2"/>
  <c r="B949" i="2"/>
  <c r="A949" i="2"/>
  <c r="C948" i="2"/>
  <c r="B948" i="2"/>
  <c r="A948" i="2"/>
  <c r="C947" i="2"/>
  <c r="B947" i="2"/>
  <c r="A947" i="2"/>
  <c r="C946" i="2"/>
  <c r="B946" i="2"/>
  <c r="A946" i="2"/>
  <c r="C945" i="2"/>
  <c r="B945" i="2"/>
  <c r="A945" i="2"/>
  <c r="C944" i="2"/>
  <c r="B944" i="2"/>
  <c r="A944" i="2"/>
  <c r="C943" i="2"/>
  <c r="B943" i="2"/>
  <c r="A943" i="2"/>
  <c r="C942" i="2"/>
  <c r="B942" i="2"/>
  <c r="A942" i="2"/>
  <c r="C941" i="2"/>
  <c r="B941" i="2"/>
  <c r="A941" i="2"/>
  <c r="C940" i="2"/>
  <c r="B940" i="2"/>
  <c r="A940" i="2"/>
  <c r="C939" i="2"/>
  <c r="B939" i="2"/>
  <c r="A939" i="2"/>
  <c r="C938" i="2"/>
  <c r="B938" i="2"/>
  <c r="A938" i="2"/>
  <c r="C937" i="2"/>
  <c r="B937" i="2"/>
  <c r="A937" i="2"/>
  <c r="C936" i="2"/>
  <c r="B936" i="2"/>
  <c r="A936" i="2"/>
  <c r="C935" i="2"/>
  <c r="B935" i="2"/>
  <c r="A935" i="2"/>
  <c r="C934" i="2"/>
  <c r="B934" i="2"/>
  <c r="A934" i="2"/>
  <c r="C933" i="2"/>
  <c r="B933" i="2"/>
  <c r="A933" i="2"/>
  <c r="C932" i="2"/>
  <c r="B932" i="2"/>
  <c r="A932" i="2"/>
  <c r="C931" i="2"/>
  <c r="B931" i="2"/>
  <c r="A931" i="2"/>
  <c r="C930" i="2"/>
  <c r="B930" i="2"/>
  <c r="A930" i="2"/>
  <c r="C929" i="2"/>
  <c r="B929" i="2"/>
  <c r="A929" i="2"/>
  <c r="C928" i="2"/>
  <c r="B928" i="2"/>
  <c r="A928" i="2"/>
  <c r="C927" i="2"/>
  <c r="B927" i="2"/>
  <c r="A927" i="2"/>
  <c r="C926" i="2"/>
  <c r="B926" i="2"/>
  <c r="A926" i="2"/>
  <c r="C925" i="2"/>
  <c r="B925" i="2"/>
  <c r="A925" i="2"/>
  <c r="C924" i="2"/>
  <c r="B924" i="2"/>
  <c r="A924" i="2"/>
  <c r="C923" i="2"/>
  <c r="B923" i="2"/>
  <c r="A923" i="2"/>
  <c r="C922" i="2"/>
  <c r="B922" i="2"/>
  <c r="A922" i="2"/>
  <c r="C921" i="2"/>
  <c r="B921" i="2"/>
  <c r="A921" i="2"/>
  <c r="C920" i="2"/>
  <c r="B920" i="2"/>
  <c r="A920" i="2"/>
  <c r="C919" i="2"/>
  <c r="B919" i="2"/>
  <c r="A919" i="2"/>
  <c r="C918" i="2"/>
  <c r="B918" i="2"/>
  <c r="A918" i="2"/>
  <c r="C917" i="2"/>
  <c r="B917" i="2"/>
  <c r="A917" i="2"/>
  <c r="C916" i="2"/>
  <c r="B916" i="2"/>
  <c r="A916" i="2"/>
  <c r="C915" i="2"/>
  <c r="B915" i="2"/>
  <c r="A915" i="2"/>
  <c r="C914" i="2"/>
  <c r="B914" i="2"/>
  <c r="A914" i="2"/>
  <c r="C913" i="2"/>
  <c r="B913" i="2"/>
  <c r="A913" i="2"/>
  <c r="C912" i="2"/>
  <c r="B912" i="2"/>
  <c r="A912" i="2"/>
  <c r="C911" i="2"/>
  <c r="B911" i="2"/>
  <c r="A911" i="2"/>
  <c r="C910" i="2"/>
  <c r="B910" i="2"/>
  <c r="A910" i="2"/>
  <c r="C909" i="2"/>
  <c r="B909" i="2"/>
  <c r="A909" i="2"/>
  <c r="C908" i="2"/>
  <c r="A908" i="2"/>
  <c r="C907" i="2"/>
  <c r="A907" i="2"/>
  <c r="C906" i="2"/>
  <c r="B906" i="2"/>
  <c r="A906" i="2"/>
  <c r="C905" i="2"/>
  <c r="B905" i="2"/>
  <c r="A905" i="2"/>
  <c r="C904" i="2"/>
  <c r="B904" i="2"/>
  <c r="A904" i="2"/>
  <c r="C903" i="2"/>
  <c r="B903" i="2"/>
  <c r="A903" i="2"/>
  <c r="C902" i="2"/>
  <c r="B902" i="2"/>
  <c r="A902" i="2"/>
  <c r="C901" i="2"/>
  <c r="B901" i="2"/>
  <c r="A901" i="2"/>
  <c r="C900" i="2"/>
  <c r="B900" i="2"/>
  <c r="A900" i="2"/>
  <c r="C899" i="2"/>
  <c r="B899" i="2"/>
  <c r="A899" i="2"/>
  <c r="C898" i="2"/>
  <c r="B898" i="2"/>
  <c r="A898" i="2"/>
  <c r="C897" i="2"/>
  <c r="B897" i="2"/>
  <c r="A897" i="2"/>
  <c r="C896" i="2"/>
  <c r="B896" i="2"/>
  <c r="A896" i="2"/>
  <c r="C895" i="2"/>
  <c r="B895" i="2"/>
  <c r="A895" i="2"/>
  <c r="C894" i="2"/>
  <c r="B894" i="2"/>
  <c r="A894" i="2"/>
  <c r="C893" i="2"/>
  <c r="B893" i="2"/>
  <c r="A893" i="2"/>
  <c r="C892" i="2"/>
  <c r="B892" i="2"/>
  <c r="A892" i="2"/>
  <c r="C891" i="2"/>
  <c r="B891" i="2"/>
  <c r="A891" i="2"/>
  <c r="C890" i="2"/>
  <c r="B890" i="2"/>
  <c r="A890" i="2"/>
  <c r="C889" i="2"/>
  <c r="B889" i="2"/>
  <c r="A889" i="2"/>
  <c r="C888" i="2"/>
  <c r="B888" i="2"/>
  <c r="A888" i="2"/>
  <c r="C887" i="2"/>
  <c r="B887" i="2"/>
  <c r="A887" i="2"/>
  <c r="C886" i="2"/>
  <c r="B886" i="2"/>
  <c r="A886" i="2"/>
  <c r="C885" i="2"/>
  <c r="B885" i="2"/>
  <c r="A885" i="2"/>
  <c r="C884" i="2"/>
  <c r="B884" i="2"/>
  <c r="A884" i="2"/>
  <c r="C883" i="2"/>
  <c r="B883" i="2"/>
  <c r="A883" i="2"/>
  <c r="C882" i="2"/>
  <c r="B882" i="2"/>
  <c r="A882" i="2"/>
  <c r="C881" i="2"/>
  <c r="B881" i="2"/>
  <c r="A881" i="2"/>
  <c r="C880" i="2"/>
  <c r="B880" i="2"/>
  <c r="A880" i="2"/>
  <c r="C879" i="2"/>
  <c r="B879" i="2"/>
  <c r="A879" i="2"/>
  <c r="C878" i="2"/>
  <c r="B878" i="2"/>
  <c r="A878" i="2"/>
  <c r="C877" i="2"/>
  <c r="B877" i="2"/>
  <c r="A877" i="2"/>
  <c r="C876" i="2"/>
  <c r="B876" i="2"/>
  <c r="A876" i="2"/>
  <c r="C875" i="2"/>
  <c r="B875" i="2"/>
  <c r="A875" i="2"/>
  <c r="C874" i="2"/>
  <c r="B874" i="2"/>
  <c r="A874" i="2"/>
  <c r="C873" i="2"/>
  <c r="B873" i="2"/>
  <c r="A873" i="2"/>
  <c r="C872" i="2"/>
  <c r="B872" i="2"/>
  <c r="A872" i="2"/>
  <c r="C871" i="2"/>
  <c r="B871" i="2"/>
  <c r="A871" i="2"/>
  <c r="C870" i="2"/>
  <c r="B870" i="2"/>
  <c r="A870" i="2"/>
  <c r="C869" i="2"/>
  <c r="B869" i="2"/>
  <c r="A869" i="2"/>
  <c r="C868" i="2"/>
  <c r="B868" i="2"/>
  <c r="A868" i="2"/>
  <c r="C867" i="2"/>
  <c r="B867" i="2"/>
  <c r="A867" i="2"/>
  <c r="C866" i="2"/>
  <c r="B866" i="2"/>
  <c r="A866" i="2"/>
  <c r="C865" i="2"/>
  <c r="B865" i="2"/>
  <c r="A865" i="2"/>
  <c r="C864" i="2"/>
  <c r="B864" i="2"/>
  <c r="A864" i="2"/>
  <c r="C863" i="2"/>
  <c r="B863" i="2"/>
  <c r="A863" i="2"/>
  <c r="C862" i="2"/>
  <c r="B862" i="2"/>
  <c r="A862" i="2"/>
  <c r="C861" i="2"/>
  <c r="B861" i="2"/>
  <c r="A861" i="2"/>
  <c r="C860" i="2"/>
  <c r="B860" i="2"/>
  <c r="A860" i="2"/>
  <c r="C859" i="2"/>
  <c r="B859" i="2"/>
  <c r="A859" i="2"/>
  <c r="C858" i="2"/>
  <c r="B858" i="2"/>
  <c r="A858" i="2"/>
  <c r="C857" i="2"/>
  <c r="B857" i="2"/>
  <c r="A857" i="2"/>
  <c r="C856" i="2"/>
  <c r="B856" i="2"/>
  <c r="A856" i="2"/>
  <c r="C855" i="2"/>
  <c r="B855" i="2"/>
  <c r="A855" i="2"/>
  <c r="C854" i="2"/>
  <c r="B854" i="2"/>
  <c r="A854" i="2"/>
  <c r="C853" i="2"/>
  <c r="B853" i="2"/>
  <c r="A853" i="2"/>
  <c r="C852" i="2"/>
  <c r="B852" i="2"/>
  <c r="A852" i="2"/>
  <c r="C851" i="2"/>
  <c r="B851" i="2"/>
  <c r="A851" i="2"/>
  <c r="C850" i="2"/>
  <c r="B850" i="2"/>
  <c r="A850" i="2"/>
  <c r="C849" i="2"/>
  <c r="B849" i="2"/>
  <c r="A849" i="2"/>
  <c r="C848" i="2"/>
  <c r="B848" i="2"/>
  <c r="A848" i="2"/>
  <c r="C847" i="2"/>
  <c r="B847" i="2"/>
  <c r="A847" i="2"/>
  <c r="C846" i="2"/>
  <c r="B846" i="2"/>
  <c r="A846" i="2"/>
  <c r="C845" i="2"/>
  <c r="B845" i="2"/>
  <c r="A845" i="2"/>
  <c r="C844" i="2"/>
  <c r="B844" i="2"/>
  <c r="A844" i="2"/>
  <c r="C843" i="2"/>
  <c r="B843" i="2"/>
  <c r="A843" i="2"/>
  <c r="C842" i="2"/>
  <c r="B842" i="2"/>
  <c r="A842" i="2"/>
  <c r="C841" i="2"/>
  <c r="B841" i="2"/>
  <c r="A841" i="2"/>
  <c r="C840" i="2"/>
  <c r="B840" i="2"/>
  <c r="A840" i="2"/>
  <c r="C839" i="2"/>
  <c r="B839" i="2"/>
  <c r="A839" i="2"/>
  <c r="C838" i="2"/>
  <c r="B838" i="2"/>
  <c r="A838" i="2"/>
  <c r="C837" i="2"/>
  <c r="B837" i="2"/>
  <c r="A837" i="2"/>
  <c r="C836" i="2"/>
  <c r="B836" i="2"/>
  <c r="A836" i="2"/>
  <c r="C835" i="2"/>
  <c r="B835" i="2"/>
  <c r="A835" i="2"/>
  <c r="C834" i="2"/>
  <c r="B834" i="2"/>
  <c r="A834" i="2"/>
  <c r="C833" i="2"/>
  <c r="B833" i="2"/>
  <c r="A833" i="2"/>
  <c r="C832" i="2"/>
  <c r="B832" i="2"/>
  <c r="A832" i="2"/>
  <c r="C831" i="2"/>
  <c r="B831" i="2"/>
  <c r="A831" i="2"/>
  <c r="C830" i="2"/>
  <c r="B830" i="2"/>
  <c r="A830" i="2"/>
  <c r="C829" i="2"/>
  <c r="B829" i="2"/>
  <c r="A829" i="2"/>
  <c r="C828" i="2"/>
  <c r="B828" i="2"/>
  <c r="A828" i="2"/>
  <c r="C827" i="2"/>
  <c r="B827" i="2"/>
  <c r="A827" i="2"/>
  <c r="C826" i="2"/>
  <c r="B826" i="2"/>
  <c r="A826" i="2"/>
  <c r="C825" i="2"/>
  <c r="B825" i="2"/>
  <c r="A825" i="2"/>
  <c r="C824" i="2"/>
  <c r="B824" i="2"/>
  <c r="A824" i="2"/>
  <c r="C823" i="2"/>
  <c r="B823" i="2"/>
  <c r="A823" i="2"/>
  <c r="C822" i="2"/>
  <c r="B822" i="2"/>
  <c r="A822" i="2"/>
  <c r="C821" i="2"/>
  <c r="B821" i="2"/>
  <c r="A821" i="2"/>
  <c r="C820" i="2"/>
  <c r="B820" i="2"/>
  <c r="A820" i="2"/>
  <c r="C819" i="2"/>
  <c r="B819" i="2"/>
  <c r="A819" i="2"/>
  <c r="C818" i="2"/>
  <c r="B818" i="2"/>
  <c r="A818" i="2"/>
  <c r="C817" i="2"/>
  <c r="B817" i="2"/>
  <c r="A817" i="2"/>
  <c r="C816" i="2"/>
  <c r="B816" i="2"/>
  <c r="A816" i="2"/>
  <c r="C815" i="2"/>
  <c r="B815" i="2"/>
  <c r="A815" i="2"/>
  <c r="C814" i="2"/>
  <c r="B814" i="2"/>
  <c r="A814" i="2"/>
  <c r="C813" i="2"/>
  <c r="B813" i="2"/>
  <c r="A813" i="2"/>
  <c r="C812" i="2"/>
  <c r="B812" i="2"/>
  <c r="A812" i="2"/>
  <c r="C811" i="2"/>
  <c r="B811" i="2"/>
  <c r="A811" i="2"/>
  <c r="C810" i="2"/>
  <c r="B810" i="2"/>
  <c r="A810" i="2"/>
  <c r="C809" i="2"/>
  <c r="B809" i="2"/>
  <c r="A809" i="2"/>
  <c r="C808" i="2"/>
  <c r="B808" i="2"/>
  <c r="A808" i="2"/>
  <c r="C807" i="2"/>
  <c r="B807" i="2"/>
  <c r="A807" i="2"/>
  <c r="C806" i="2"/>
  <c r="B806" i="2"/>
  <c r="A806" i="2"/>
  <c r="C805" i="2"/>
  <c r="B805" i="2"/>
  <c r="A805" i="2"/>
  <c r="C804" i="2"/>
  <c r="B804" i="2"/>
  <c r="A804" i="2"/>
  <c r="C803" i="2"/>
  <c r="B803" i="2"/>
  <c r="A803" i="2"/>
  <c r="C802" i="2"/>
  <c r="B802" i="2"/>
  <c r="A802" i="2"/>
  <c r="C801" i="2"/>
  <c r="B801" i="2"/>
  <c r="A801" i="2"/>
  <c r="C800" i="2"/>
  <c r="B800" i="2"/>
  <c r="A800" i="2"/>
  <c r="C799" i="2"/>
  <c r="B799" i="2"/>
  <c r="A799" i="2"/>
  <c r="C798" i="2"/>
  <c r="B798" i="2"/>
  <c r="A798" i="2"/>
  <c r="C797" i="2"/>
  <c r="B797" i="2"/>
  <c r="A797" i="2"/>
  <c r="C796" i="2"/>
  <c r="B796" i="2"/>
  <c r="A796" i="2"/>
  <c r="C795" i="2"/>
  <c r="B795" i="2"/>
  <c r="A795" i="2"/>
  <c r="C794" i="2"/>
  <c r="B794" i="2"/>
  <c r="A794" i="2"/>
  <c r="C793" i="2"/>
  <c r="B793" i="2"/>
  <c r="A793" i="2"/>
  <c r="C792" i="2"/>
  <c r="B792" i="2"/>
  <c r="A792" i="2"/>
  <c r="C791" i="2"/>
  <c r="B791" i="2"/>
  <c r="A791" i="2"/>
  <c r="C790" i="2"/>
  <c r="B790" i="2"/>
  <c r="A790" i="2"/>
  <c r="C789" i="2"/>
  <c r="B789" i="2"/>
  <c r="A789" i="2"/>
  <c r="C788" i="2"/>
  <c r="B788" i="2"/>
  <c r="A788" i="2"/>
  <c r="C787" i="2"/>
  <c r="B787" i="2"/>
  <c r="A787" i="2"/>
  <c r="C786" i="2"/>
  <c r="B786" i="2"/>
  <c r="A786" i="2"/>
  <c r="C785" i="2"/>
  <c r="B785" i="2"/>
  <c r="A785" i="2"/>
  <c r="C784" i="2"/>
  <c r="B784" i="2"/>
  <c r="A784" i="2"/>
  <c r="C783" i="2"/>
  <c r="B783" i="2"/>
  <c r="A783" i="2"/>
  <c r="C782" i="2"/>
  <c r="B782" i="2"/>
  <c r="A782" i="2"/>
  <c r="C781" i="2"/>
  <c r="B781" i="2"/>
  <c r="A781" i="2"/>
  <c r="C780" i="2"/>
  <c r="B780" i="2"/>
  <c r="A780" i="2"/>
  <c r="C779" i="2"/>
  <c r="B779" i="2"/>
  <c r="A779" i="2"/>
  <c r="C778" i="2"/>
  <c r="B778" i="2"/>
  <c r="A778" i="2"/>
  <c r="C777" i="2"/>
  <c r="B777" i="2"/>
  <c r="A777" i="2"/>
  <c r="C776" i="2"/>
  <c r="B776" i="2"/>
  <c r="A776" i="2"/>
  <c r="C775" i="2"/>
  <c r="B775" i="2"/>
  <c r="A775" i="2"/>
  <c r="C774" i="2"/>
  <c r="B774" i="2"/>
  <c r="A774" i="2"/>
  <c r="C773" i="2"/>
  <c r="B773" i="2"/>
  <c r="A773" i="2"/>
  <c r="C772" i="2"/>
  <c r="B772" i="2"/>
  <c r="A772" i="2"/>
  <c r="C771" i="2"/>
  <c r="B771" i="2"/>
  <c r="A771" i="2"/>
  <c r="C770" i="2"/>
  <c r="B770" i="2"/>
  <c r="A770" i="2"/>
  <c r="C769" i="2"/>
  <c r="B769" i="2"/>
  <c r="A769" i="2"/>
  <c r="C768" i="2"/>
  <c r="B768" i="2"/>
  <c r="A768" i="2"/>
  <c r="C767" i="2"/>
  <c r="B767" i="2"/>
  <c r="A767" i="2"/>
  <c r="C766" i="2"/>
  <c r="B766" i="2"/>
  <c r="A766" i="2"/>
  <c r="C765" i="2"/>
  <c r="B765" i="2"/>
  <c r="A765" i="2"/>
  <c r="C764" i="2"/>
  <c r="B764" i="2"/>
  <c r="A764" i="2"/>
  <c r="C763" i="2"/>
  <c r="B763" i="2"/>
  <c r="A763" i="2"/>
  <c r="C762" i="2"/>
  <c r="B762" i="2"/>
  <c r="A762" i="2"/>
  <c r="C761" i="2"/>
  <c r="B761" i="2"/>
  <c r="A761" i="2"/>
  <c r="C760" i="2"/>
  <c r="B760" i="2"/>
  <c r="A760" i="2"/>
  <c r="C759" i="2"/>
  <c r="B759" i="2"/>
  <c r="A759" i="2"/>
  <c r="C758" i="2"/>
  <c r="B758" i="2"/>
  <c r="A758" i="2"/>
  <c r="C757" i="2"/>
  <c r="B757" i="2"/>
  <c r="A757" i="2"/>
  <c r="C756" i="2"/>
  <c r="B756" i="2"/>
  <c r="A756" i="2"/>
  <c r="C755" i="2"/>
  <c r="B755" i="2"/>
  <c r="A755" i="2"/>
  <c r="C754" i="2"/>
  <c r="B754" i="2"/>
  <c r="A754" i="2"/>
  <c r="C753" i="2"/>
  <c r="B753" i="2"/>
  <c r="A753" i="2"/>
  <c r="C752" i="2"/>
  <c r="B752" i="2"/>
  <c r="A752" i="2"/>
  <c r="C751" i="2"/>
  <c r="B751" i="2"/>
  <c r="A751" i="2"/>
  <c r="C750" i="2"/>
  <c r="B750" i="2"/>
  <c r="A750" i="2"/>
  <c r="C749" i="2"/>
  <c r="B749" i="2"/>
  <c r="A749" i="2"/>
  <c r="C748" i="2"/>
  <c r="B748" i="2"/>
  <c r="A748" i="2"/>
  <c r="C747" i="2"/>
  <c r="B747" i="2"/>
  <c r="A747" i="2"/>
  <c r="C746" i="2"/>
  <c r="B746" i="2"/>
  <c r="A746" i="2"/>
  <c r="C745" i="2"/>
  <c r="B745" i="2"/>
  <c r="A745" i="2"/>
  <c r="C744" i="2"/>
  <c r="B744" i="2"/>
  <c r="A744" i="2"/>
  <c r="C743" i="2"/>
  <c r="B743" i="2"/>
  <c r="A743" i="2"/>
  <c r="C742" i="2"/>
  <c r="B742" i="2"/>
  <c r="A742" i="2"/>
  <c r="C741" i="2"/>
  <c r="B741" i="2"/>
  <c r="A741" i="2"/>
  <c r="C740" i="2"/>
  <c r="B740" i="2"/>
  <c r="A740" i="2"/>
  <c r="C739" i="2"/>
  <c r="B739" i="2"/>
  <c r="A739" i="2"/>
  <c r="C738" i="2"/>
  <c r="B738" i="2"/>
  <c r="A738" i="2"/>
  <c r="C737" i="2"/>
  <c r="B737" i="2"/>
  <c r="A737" i="2"/>
  <c r="C736" i="2"/>
  <c r="B736" i="2"/>
  <c r="A736" i="2"/>
  <c r="C735" i="2"/>
  <c r="B735" i="2"/>
  <c r="A735" i="2"/>
  <c r="C734" i="2"/>
  <c r="B734" i="2"/>
  <c r="A734" i="2"/>
  <c r="C733" i="2"/>
  <c r="B733" i="2"/>
  <c r="A733" i="2"/>
  <c r="C732" i="2"/>
  <c r="B732" i="2"/>
  <c r="A732" i="2"/>
  <c r="C731" i="2"/>
  <c r="B731" i="2"/>
  <c r="A731" i="2"/>
  <c r="C730" i="2"/>
  <c r="B730" i="2"/>
  <c r="A730" i="2"/>
  <c r="C729" i="2"/>
  <c r="B729" i="2"/>
  <c r="A729" i="2"/>
  <c r="C728" i="2"/>
  <c r="B728" i="2"/>
  <c r="A728" i="2"/>
  <c r="C727" i="2"/>
  <c r="B727" i="2"/>
  <c r="A727" i="2"/>
  <c r="C726" i="2"/>
  <c r="B726" i="2"/>
  <c r="A726" i="2"/>
  <c r="C725" i="2"/>
  <c r="B725" i="2"/>
  <c r="A725" i="2"/>
  <c r="C724" i="2"/>
  <c r="B724" i="2"/>
  <c r="A724" i="2"/>
  <c r="C723" i="2"/>
  <c r="B723" i="2"/>
  <c r="A723" i="2"/>
  <c r="C722" i="2"/>
  <c r="B722" i="2"/>
  <c r="A722" i="2"/>
  <c r="C721" i="2"/>
  <c r="B721" i="2"/>
  <c r="A721" i="2"/>
  <c r="C720" i="2"/>
  <c r="B720" i="2"/>
  <c r="A720" i="2"/>
  <c r="C719" i="2"/>
  <c r="B719" i="2"/>
  <c r="A719" i="2"/>
  <c r="C718" i="2"/>
  <c r="B718" i="2"/>
  <c r="A718" i="2"/>
  <c r="C717" i="2"/>
  <c r="B717" i="2"/>
  <c r="A717" i="2"/>
  <c r="C716" i="2"/>
  <c r="B716" i="2"/>
  <c r="A716" i="2"/>
  <c r="C715" i="2"/>
  <c r="B715" i="2"/>
  <c r="A715" i="2"/>
  <c r="C714" i="2"/>
  <c r="B714" i="2"/>
  <c r="A714" i="2"/>
  <c r="C713" i="2"/>
  <c r="B713" i="2"/>
  <c r="A713" i="2"/>
  <c r="C712" i="2"/>
  <c r="B712" i="2"/>
  <c r="A712" i="2"/>
  <c r="C711" i="2"/>
  <c r="B711" i="2"/>
  <c r="A711" i="2"/>
  <c r="C710" i="2"/>
  <c r="B710" i="2"/>
  <c r="A710" i="2"/>
  <c r="C709" i="2"/>
  <c r="B709" i="2"/>
  <c r="A709" i="2"/>
  <c r="C708" i="2"/>
  <c r="B708" i="2"/>
  <c r="A708" i="2"/>
  <c r="C707" i="2"/>
  <c r="B707" i="2"/>
  <c r="A707" i="2"/>
  <c r="C706" i="2"/>
  <c r="B706" i="2"/>
  <c r="A706" i="2"/>
  <c r="C705" i="2"/>
  <c r="B705" i="2"/>
  <c r="A705" i="2"/>
  <c r="C704" i="2"/>
  <c r="B704" i="2"/>
  <c r="A704" i="2"/>
  <c r="C703" i="2"/>
  <c r="B703" i="2"/>
  <c r="A703" i="2"/>
  <c r="C702" i="2"/>
  <c r="B702" i="2"/>
  <c r="A702" i="2"/>
  <c r="C701" i="2"/>
  <c r="B701" i="2"/>
  <c r="A701" i="2"/>
  <c r="C700" i="2"/>
  <c r="B700" i="2"/>
  <c r="A700" i="2"/>
  <c r="C699" i="2"/>
  <c r="B699" i="2"/>
  <c r="A699" i="2"/>
  <c r="C698" i="2"/>
  <c r="B698" i="2"/>
  <c r="A698" i="2"/>
  <c r="C697" i="2"/>
  <c r="B697" i="2"/>
  <c r="A697" i="2"/>
  <c r="C696" i="2"/>
  <c r="B696" i="2"/>
  <c r="A696" i="2"/>
  <c r="C695" i="2"/>
  <c r="B695" i="2"/>
  <c r="A695" i="2"/>
  <c r="C694" i="2"/>
  <c r="B694" i="2"/>
  <c r="A694" i="2"/>
  <c r="C693" i="2"/>
  <c r="B693" i="2"/>
  <c r="A693" i="2"/>
  <c r="C692" i="2"/>
  <c r="B692" i="2"/>
  <c r="A692" i="2"/>
  <c r="C691" i="2"/>
  <c r="B691" i="2"/>
  <c r="A691" i="2"/>
  <c r="C690" i="2"/>
  <c r="B690" i="2"/>
  <c r="A690" i="2"/>
  <c r="C689" i="2"/>
  <c r="B689" i="2"/>
  <c r="A689" i="2"/>
  <c r="C688" i="2"/>
  <c r="B688" i="2"/>
  <c r="A688" i="2"/>
  <c r="C687" i="2"/>
  <c r="B687" i="2"/>
  <c r="A687" i="2"/>
  <c r="C686" i="2"/>
  <c r="B686" i="2"/>
  <c r="A686" i="2"/>
  <c r="C685" i="2"/>
  <c r="B685" i="2"/>
  <c r="A685" i="2"/>
  <c r="C684" i="2"/>
  <c r="B684" i="2"/>
  <c r="A684" i="2"/>
  <c r="C683" i="2"/>
  <c r="B683" i="2"/>
  <c r="A683" i="2"/>
  <c r="C682" i="2"/>
  <c r="B682" i="2"/>
  <c r="A682" i="2"/>
  <c r="C681" i="2"/>
  <c r="B681" i="2"/>
  <c r="A681" i="2"/>
  <c r="C680" i="2"/>
  <c r="B680" i="2"/>
  <c r="A680" i="2"/>
  <c r="C679" i="2"/>
  <c r="B679" i="2"/>
  <c r="A679" i="2"/>
  <c r="C678" i="2"/>
  <c r="B678" i="2"/>
  <c r="A678" i="2"/>
  <c r="C677" i="2"/>
  <c r="A677" i="2"/>
  <c r="C676" i="2"/>
  <c r="B676" i="2"/>
  <c r="A676" i="2"/>
  <c r="C675" i="2"/>
  <c r="B675" i="2"/>
  <c r="A675" i="2"/>
  <c r="C674" i="2"/>
  <c r="B674" i="2"/>
  <c r="A674" i="2"/>
  <c r="C673" i="2"/>
  <c r="A673" i="2"/>
  <c r="C672" i="2"/>
  <c r="B672" i="2"/>
  <c r="A672" i="2"/>
  <c r="C671" i="2"/>
  <c r="B671" i="2"/>
  <c r="A671" i="2"/>
  <c r="C670" i="2"/>
  <c r="B670" i="2"/>
  <c r="A670" i="2"/>
  <c r="C669" i="2"/>
  <c r="B669" i="2"/>
  <c r="A669" i="2"/>
  <c r="C668" i="2"/>
  <c r="B668" i="2"/>
  <c r="A668" i="2"/>
  <c r="C667" i="2"/>
  <c r="B667" i="2"/>
  <c r="A667" i="2"/>
  <c r="C666" i="2"/>
  <c r="B666" i="2"/>
  <c r="A666" i="2"/>
  <c r="C665" i="2"/>
  <c r="B665" i="2"/>
  <c r="A665" i="2"/>
  <c r="C664" i="2"/>
  <c r="B664" i="2"/>
  <c r="A664" i="2"/>
  <c r="C663" i="2"/>
  <c r="B663" i="2"/>
  <c r="A663" i="2"/>
  <c r="C662" i="2"/>
  <c r="B662" i="2"/>
  <c r="A662" i="2"/>
  <c r="C661" i="2"/>
  <c r="B661" i="2"/>
  <c r="A661" i="2"/>
  <c r="C660" i="2"/>
  <c r="B660" i="2"/>
  <c r="A660" i="2"/>
  <c r="C659" i="2"/>
  <c r="B659" i="2"/>
  <c r="A659" i="2"/>
  <c r="C658" i="2"/>
  <c r="B658" i="2"/>
  <c r="A658" i="2"/>
  <c r="C657" i="2"/>
  <c r="B657" i="2"/>
  <c r="A657" i="2"/>
  <c r="C656" i="2"/>
  <c r="B656" i="2"/>
  <c r="A656" i="2"/>
  <c r="C655" i="2"/>
  <c r="B655" i="2"/>
  <c r="A655" i="2"/>
  <c r="C654" i="2"/>
  <c r="B654" i="2"/>
  <c r="A654" i="2"/>
  <c r="C653" i="2"/>
  <c r="B653" i="2"/>
  <c r="A653" i="2"/>
  <c r="C652" i="2"/>
  <c r="A652" i="2"/>
  <c r="C651" i="2"/>
  <c r="B651" i="2"/>
  <c r="A651" i="2"/>
  <c r="C650" i="2"/>
  <c r="B650" i="2"/>
  <c r="A650" i="2"/>
  <c r="C649" i="2"/>
  <c r="B649" i="2"/>
  <c r="A649" i="2"/>
  <c r="C648" i="2"/>
  <c r="B648" i="2"/>
  <c r="A648" i="2"/>
  <c r="C647" i="2"/>
  <c r="B647" i="2"/>
  <c r="A647" i="2"/>
  <c r="C646" i="2"/>
  <c r="B646" i="2"/>
  <c r="A646" i="2"/>
  <c r="C645" i="2"/>
  <c r="B645" i="2"/>
  <c r="A645" i="2"/>
  <c r="C644" i="2"/>
  <c r="B644" i="2"/>
  <c r="A644" i="2"/>
  <c r="C643" i="2"/>
  <c r="B643" i="2"/>
  <c r="A643" i="2"/>
  <c r="C642" i="2"/>
  <c r="B642" i="2"/>
  <c r="A642" i="2"/>
  <c r="C641" i="2"/>
  <c r="B641" i="2"/>
  <c r="A641" i="2"/>
  <c r="C640" i="2"/>
  <c r="B640" i="2"/>
  <c r="A640" i="2"/>
  <c r="C639" i="2"/>
  <c r="B639" i="2"/>
  <c r="A639" i="2"/>
  <c r="C638" i="2"/>
  <c r="A638" i="2"/>
  <c r="C637" i="2"/>
  <c r="B637" i="2"/>
  <c r="A637" i="2"/>
  <c r="C636" i="2"/>
  <c r="B636" i="2"/>
  <c r="A636" i="2"/>
  <c r="C635" i="2"/>
  <c r="B635" i="2"/>
  <c r="A635" i="2"/>
  <c r="C634" i="2"/>
  <c r="B634" i="2"/>
  <c r="A634" i="2"/>
  <c r="C633" i="2"/>
  <c r="B633" i="2"/>
  <c r="A633" i="2"/>
  <c r="C632" i="2"/>
  <c r="B632" i="2"/>
  <c r="A632" i="2"/>
  <c r="C631" i="2"/>
  <c r="B631" i="2"/>
  <c r="A631" i="2"/>
  <c r="C630" i="2"/>
  <c r="B630" i="2"/>
  <c r="A630" i="2"/>
  <c r="C629" i="2"/>
  <c r="B629" i="2"/>
  <c r="A629" i="2"/>
  <c r="C628" i="2"/>
  <c r="B628" i="2"/>
  <c r="A628" i="2"/>
  <c r="C627" i="2"/>
  <c r="B627" i="2"/>
  <c r="A627" i="2"/>
  <c r="C626" i="2"/>
  <c r="B626" i="2"/>
  <c r="A626" i="2"/>
  <c r="C625" i="2"/>
  <c r="B625" i="2"/>
  <c r="A625" i="2"/>
  <c r="C624" i="2"/>
  <c r="B624" i="2"/>
  <c r="A624" i="2"/>
  <c r="C623" i="2"/>
  <c r="B623" i="2"/>
  <c r="A623" i="2"/>
  <c r="C622" i="2"/>
  <c r="B622" i="2"/>
  <c r="A622" i="2"/>
  <c r="C621" i="2"/>
  <c r="B621" i="2"/>
  <c r="A621" i="2"/>
  <c r="C620" i="2"/>
  <c r="B620" i="2"/>
  <c r="A620" i="2"/>
  <c r="C619" i="2"/>
  <c r="B619" i="2"/>
  <c r="A619" i="2"/>
  <c r="C618" i="2"/>
  <c r="B618" i="2"/>
  <c r="A618" i="2"/>
  <c r="C617" i="2"/>
  <c r="B617" i="2"/>
  <c r="A617" i="2"/>
  <c r="C616" i="2"/>
  <c r="B616" i="2"/>
  <c r="A616" i="2"/>
  <c r="C615" i="2"/>
  <c r="B615" i="2"/>
  <c r="A615" i="2"/>
  <c r="C614" i="2"/>
  <c r="B614" i="2"/>
  <c r="A614" i="2"/>
  <c r="C613" i="2"/>
  <c r="B613" i="2"/>
  <c r="A613" i="2"/>
  <c r="C612" i="2"/>
  <c r="B612" i="2"/>
  <c r="A612" i="2"/>
  <c r="C611" i="2"/>
  <c r="B611" i="2"/>
  <c r="A611" i="2"/>
  <c r="C610" i="2"/>
  <c r="B610" i="2"/>
  <c r="A610" i="2"/>
  <c r="C609" i="2"/>
  <c r="B609" i="2"/>
  <c r="A609" i="2"/>
  <c r="C608" i="2"/>
  <c r="B608" i="2"/>
  <c r="A608" i="2"/>
  <c r="C607" i="2"/>
  <c r="B607" i="2"/>
  <c r="A607" i="2"/>
  <c r="C606" i="2"/>
  <c r="B606" i="2"/>
  <c r="A606" i="2"/>
  <c r="C605" i="2"/>
  <c r="B605" i="2"/>
  <c r="A605" i="2"/>
  <c r="C604" i="2"/>
  <c r="B604" i="2"/>
  <c r="A604" i="2"/>
  <c r="C603" i="2"/>
  <c r="B603" i="2"/>
  <c r="A603" i="2"/>
  <c r="C602" i="2"/>
  <c r="B602" i="2"/>
  <c r="A602" i="2"/>
  <c r="C601" i="2"/>
  <c r="B601" i="2"/>
  <c r="A601" i="2"/>
  <c r="C600" i="2"/>
  <c r="B600" i="2"/>
  <c r="A600" i="2"/>
  <c r="C599" i="2"/>
  <c r="B599" i="2"/>
  <c r="A599" i="2"/>
  <c r="C598" i="2"/>
  <c r="B598" i="2"/>
  <c r="A598" i="2"/>
  <c r="C597" i="2"/>
  <c r="B597" i="2"/>
  <c r="A597" i="2"/>
  <c r="C596" i="2"/>
  <c r="B596" i="2"/>
  <c r="A596" i="2"/>
  <c r="C595" i="2"/>
  <c r="B595" i="2"/>
  <c r="A595" i="2"/>
  <c r="C594" i="2"/>
  <c r="B594" i="2"/>
  <c r="A594" i="2"/>
  <c r="C593" i="2"/>
  <c r="B593" i="2"/>
  <c r="A593" i="2"/>
  <c r="C592" i="2"/>
  <c r="B592" i="2"/>
  <c r="A592" i="2"/>
  <c r="C591" i="2"/>
  <c r="B591" i="2"/>
  <c r="A591" i="2"/>
  <c r="C590" i="2"/>
  <c r="B590" i="2"/>
  <c r="A590" i="2"/>
  <c r="C589" i="2"/>
  <c r="B589" i="2"/>
  <c r="A589" i="2"/>
  <c r="C588" i="2"/>
  <c r="B588" i="2"/>
  <c r="A588" i="2"/>
  <c r="C587" i="2"/>
  <c r="B587" i="2"/>
  <c r="A587" i="2"/>
  <c r="C586" i="2"/>
  <c r="B586" i="2"/>
  <c r="A586" i="2"/>
  <c r="C585" i="2"/>
  <c r="B585" i="2"/>
  <c r="A585" i="2"/>
  <c r="C584" i="2"/>
  <c r="B584" i="2"/>
  <c r="A584" i="2"/>
  <c r="C583" i="2"/>
  <c r="B583" i="2"/>
  <c r="A583" i="2"/>
  <c r="C582" i="2"/>
  <c r="B582" i="2"/>
  <c r="A582" i="2"/>
  <c r="C581" i="2"/>
  <c r="B581" i="2"/>
  <c r="A581" i="2"/>
  <c r="C580" i="2"/>
  <c r="B580" i="2"/>
  <c r="A580" i="2"/>
  <c r="C579" i="2"/>
  <c r="B579" i="2"/>
  <c r="A579" i="2"/>
  <c r="C578" i="2"/>
  <c r="B578" i="2"/>
  <c r="A578" i="2"/>
  <c r="C577" i="2"/>
  <c r="B577" i="2"/>
  <c r="A577" i="2"/>
  <c r="C576" i="2"/>
  <c r="B576" i="2"/>
  <c r="A576" i="2"/>
  <c r="C575" i="2"/>
  <c r="B575" i="2"/>
  <c r="A575" i="2"/>
  <c r="C574" i="2"/>
  <c r="B574" i="2"/>
  <c r="A574" i="2"/>
  <c r="C573" i="2"/>
  <c r="B573" i="2"/>
  <c r="A573" i="2"/>
  <c r="C572" i="2"/>
  <c r="B572" i="2"/>
  <c r="A572" i="2"/>
  <c r="C571" i="2"/>
  <c r="B571" i="2"/>
  <c r="A571" i="2"/>
  <c r="C570" i="2"/>
  <c r="B570" i="2"/>
  <c r="A570" i="2"/>
  <c r="C569" i="2"/>
  <c r="B569" i="2"/>
  <c r="A569" i="2"/>
  <c r="C568" i="2"/>
  <c r="B568" i="2"/>
  <c r="A568" i="2"/>
  <c r="C567" i="2"/>
  <c r="B567" i="2"/>
  <c r="A567" i="2"/>
  <c r="C566" i="2"/>
  <c r="B566" i="2"/>
  <c r="A566" i="2"/>
  <c r="C565" i="2"/>
  <c r="B565" i="2"/>
  <c r="A565" i="2"/>
  <c r="C564" i="2"/>
  <c r="B564" i="2"/>
  <c r="A564" i="2"/>
  <c r="C563" i="2"/>
  <c r="B563" i="2"/>
  <c r="A563" i="2"/>
  <c r="C562" i="2"/>
  <c r="B562" i="2"/>
  <c r="A562" i="2"/>
  <c r="C561" i="2"/>
  <c r="B561" i="2"/>
  <c r="A561" i="2"/>
  <c r="C560" i="2"/>
  <c r="B560" i="2"/>
  <c r="A560" i="2"/>
  <c r="C559" i="2"/>
  <c r="B559" i="2"/>
  <c r="A559" i="2"/>
  <c r="C558" i="2"/>
  <c r="B558" i="2"/>
  <c r="A558" i="2"/>
  <c r="C557" i="2"/>
  <c r="B557" i="2"/>
  <c r="A557" i="2"/>
  <c r="C556" i="2"/>
  <c r="B556" i="2"/>
  <c r="A556" i="2"/>
  <c r="C555" i="2"/>
  <c r="B555" i="2"/>
  <c r="A555" i="2"/>
  <c r="C554" i="2"/>
  <c r="B554" i="2"/>
  <c r="A554" i="2"/>
  <c r="C553" i="2"/>
  <c r="B553" i="2"/>
  <c r="A553" i="2"/>
  <c r="C552" i="2"/>
  <c r="B552" i="2"/>
  <c r="A552" i="2"/>
  <c r="C551" i="2"/>
  <c r="B551" i="2"/>
  <c r="A551" i="2"/>
  <c r="C550" i="2"/>
  <c r="B550" i="2"/>
  <c r="A550" i="2"/>
  <c r="C549" i="2"/>
  <c r="B549" i="2"/>
  <c r="A549" i="2"/>
  <c r="C548" i="2"/>
  <c r="B548" i="2"/>
  <c r="A548" i="2"/>
  <c r="C547" i="2"/>
  <c r="B547" i="2"/>
  <c r="A547" i="2"/>
  <c r="C546" i="2"/>
  <c r="B546" i="2"/>
  <c r="A546" i="2"/>
  <c r="C545" i="2"/>
  <c r="B545" i="2"/>
  <c r="A545" i="2"/>
  <c r="C544" i="2"/>
  <c r="B544" i="2"/>
  <c r="A544" i="2"/>
  <c r="C543" i="2"/>
  <c r="B543" i="2"/>
  <c r="A543" i="2"/>
  <c r="C542" i="2"/>
  <c r="B542" i="2"/>
  <c r="A542" i="2"/>
  <c r="C541" i="2"/>
  <c r="B541" i="2"/>
  <c r="A541" i="2"/>
  <c r="C540" i="2"/>
  <c r="B540" i="2"/>
  <c r="A540" i="2"/>
  <c r="C539" i="2"/>
  <c r="B539" i="2"/>
  <c r="A539" i="2"/>
  <c r="C538" i="2"/>
  <c r="B538" i="2"/>
  <c r="A538" i="2"/>
  <c r="C537" i="2"/>
  <c r="B537" i="2"/>
  <c r="A537" i="2"/>
  <c r="C536" i="2"/>
  <c r="B536" i="2"/>
  <c r="A536" i="2"/>
  <c r="C535" i="2"/>
  <c r="B535" i="2"/>
  <c r="A535" i="2"/>
  <c r="C534" i="2"/>
  <c r="B534" i="2"/>
  <c r="A534" i="2"/>
  <c r="C533" i="2"/>
  <c r="B533" i="2"/>
  <c r="A533" i="2"/>
  <c r="C532" i="2"/>
  <c r="B532" i="2"/>
  <c r="A532" i="2"/>
  <c r="C531" i="2"/>
  <c r="B531" i="2"/>
  <c r="A531" i="2"/>
  <c r="C530" i="2"/>
  <c r="B530" i="2"/>
  <c r="A530" i="2"/>
  <c r="C529" i="2"/>
  <c r="B529" i="2"/>
  <c r="A529" i="2"/>
  <c r="C528" i="2"/>
  <c r="B528" i="2"/>
  <c r="A528" i="2"/>
  <c r="C527" i="2"/>
  <c r="B527" i="2"/>
  <c r="A527" i="2"/>
  <c r="C526" i="2"/>
  <c r="B526" i="2"/>
  <c r="A526" i="2"/>
  <c r="C525" i="2"/>
  <c r="B525" i="2"/>
  <c r="A525" i="2"/>
  <c r="C524" i="2"/>
  <c r="B524" i="2"/>
  <c r="A524" i="2"/>
  <c r="C523" i="2"/>
  <c r="B523" i="2"/>
  <c r="A523" i="2"/>
  <c r="C522" i="2"/>
  <c r="B522" i="2"/>
  <c r="A522" i="2"/>
  <c r="C521" i="2"/>
  <c r="B521" i="2"/>
  <c r="A521" i="2"/>
  <c r="C520" i="2"/>
  <c r="B520" i="2"/>
  <c r="A520" i="2"/>
  <c r="C519" i="2"/>
  <c r="B519" i="2"/>
  <c r="A519" i="2"/>
  <c r="C518" i="2"/>
  <c r="B518" i="2"/>
  <c r="A518" i="2"/>
  <c r="C517" i="2"/>
  <c r="B517" i="2"/>
  <c r="A517" i="2"/>
  <c r="C516" i="2"/>
  <c r="B516" i="2"/>
  <c r="A516" i="2"/>
  <c r="C515" i="2"/>
  <c r="B515" i="2"/>
  <c r="A515" i="2"/>
  <c r="C514" i="2"/>
  <c r="B514" i="2"/>
  <c r="A514" i="2"/>
  <c r="C513" i="2"/>
  <c r="B513" i="2"/>
  <c r="A513" i="2"/>
  <c r="C512" i="2"/>
  <c r="B512" i="2"/>
  <c r="A512" i="2"/>
  <c r="C511" i="2"/>
  <c r="B511" i="2"/>
  <c r="A511" i="2"/>
  <c r="C510" i="2"/>
  <c r="B510" i="2"/>
  <c r="A510" i="2"/>
  <c r="C509" i="2"/>
  <c r="B509" i="2"/>
  <c r="A509" i="2"/>
  <c r="C508" i="2"/>
  <c r="B508" i="2"/>
  <c r="A508" i="2"/>
  <c r="C507" i="2"/>
  <c r="B507" i="2"/>
  <c r="A507" i="2"/>
  <c r="C506" i="2"/>
  <c r="B506" i="2"/>
  <c r="A506" i="2"/>
  <c r="C505" i="2"/>
  <c r="B505" i="2"/>
  <c r="A505" i="2"/>
  <c r="C504" i="2"/>
  <c r="B504" i="2"/>
  <c r="A504" i="2"/>
  <c r="C503" i="2"/>
  <c r="B503" i="2"/>
  <c r="A503" i="2"/>
  <c r="C502" i="2"/>
  <c r="B502" i="2"/>
  <c r="A502" i="2"/>
  <c r="C501" i="2"/>
  <c r="B501" i="2"/>
  <c r="A501" i="2"/>
  <c r="C500" i="2"/>
  <c r="B500" i="2"/>
  <c r="A500" i="2"/>
  <c r="C499" i="2"/>
  <c r="B499" i="2"/>
  <c r="A499" i="2"/>
  <c r="C498" i="2"/>
  <c r="B498" i="2"/>
  <c r="A498" i="2"/>
  <c r="C497" i="2"/>
  <c r="B497" i="2"/>
  <c r="A497" i="2"/>
  <c r="C496" i="2"/>
  <c r="B496" i="2"/>
  <c r="A496" i="2"/>
  <c r="C495" i="2"/>
  <c r="B495" i="2"/>
  <c r="A495" i="2"/>
  <c r="C494" i="2"/>
  <c r="B494" i="2"/>
  <c r="A494" i="2"/>
  <c r="C493" i="2"/>
  <c r="B493" i="2"/>
  <c r="A493" i="2"/>
  <c r="C492" i="2"/>
  <c r="B492" i="2"/>
  <c r="A492" i="2"/>
  <c r="C491" i="2"/>
  <c r="B491" i="2"/>
  <c r="A491" i="2"/>
  <c r="C490" i="2"/>
  <c r="B490" i="2"/>
  <c r="A490" i="2"/>
  <c r="C489" i="2"/>
  <c r="B489" i="2"/>
  <c r="A489" i="2"/>
  <c r="C488" i="2"/>
  <c r="B488" i="2"/>
  <c r="A488" i="2"/>
  <c r="C487" i="2"/>
  <c r="B487" i="2"/>
  <c r="A487" i="2"/>
  <c r="C486" i="2"/>
  <c r="B486" i="2"/>
  <c r="A486" i="2"/>
  <c r="C485" i="2"/>
  <c r="B485" i="2"/>
  <c r="A485" i="2"/>
  <c r="C484" i="2"/>
  <c r="B484" i="2"/>
  <c r="A484" i="2"/>
  <c r="C483" i="2"/>
  <c r="B483" i="2"/>
  <c r="A483" i="2"/>
  <c r="C482" i="2"/>
  <c r="B482" i="2"/>
  <c r="A482" i="2"/>
  <c r="C481" i="2"/>
  <c r="B481" i="2"/>
  <c r="A481" i="2"/>
  <c r="C480" i="2"/>
  <c r="B480" i="2"/>
  <c r="A480" i="2"/>
  <c r="C479" i="2"/>
  <c r="B479" i="2"/>
  <c r="A479" i="2"/>
  <c r="C478" i="2"/>
  <c r="B478" i="2"/>
  <c r="A478" i="2"/>
  <c r="C477" i="2"/>
  <c r="B477" i="2"/>
  <c r="A477" i="2"/>
  <c r="C476" i="2"/>
  <c r="B476" i="2"/>
  <c r="A476" i="2"/>
  <c r="C475" i="2"/>
  <c r="B475" i="2"/>
  <c r="A475" i="2"/>
  <c r="C474" i="2"/>
  <c r="B474" i="2"/>
  <c r="A474" i="2"/>
  <c r="C473" i="2"/>
  <c r="B473" i="2"/>
  <c r="A473" i="2"/>
  <c r="C472" i="2"/>
  <c r="B472" i="2"/>
  <c r="A472" i="2"/>
  <c r="C471" i="2"/>
  <c r="B471" i="2"/>
  <c r="A471" i="2"/>
  <c r="C470" i="2"/>
  <c r="B470" i="2"/>
  <c r="A470" i="2"/>
  <c r="C469" i="2"/>
  <c r="B469" i="2"/>
  <c r="A469" i="2"/>
  <c r="C468" i="2"/>
  <c r="B468" i="2"/>
  <c r="A468" i="2"/>
  <c r="C467" i="2"/>
  <c r="B467" i="2"/>
  <c r="A467" i="2"/>
  <c r="C466" i="2"/>
  <c r="B466" i="2"/>
  <c r="A466" i="2"/>
  <c r="C465" i="2"/>
  <c r="B465" i="2"/>
  <c r="A465" i="2"/>
  <c r="C464" i="2"/>
  <c r="B464" i="2"/>
  <c r="A464" i="2"/>
  <c r="C463" i="2"/>
  <c r="B463" i="2"/>
  <c r="A463" i="2"/>
  <c r="C462" i="2"/>
  <c r="B462" i="2"/>
  <c r="A462" i="2"/>
  <c r="C461" i="2"/>
  <c r="B461" i="2"/>
  <c r="A461" i="2"/>
  <c r="C460" i="2"/>
  <c r="B460" i="2"/>
  <c r="A460" i="2"/>
  <c r="C459" i="2"/>
  <c r="B459" i="2"/>
  <c r="A459" i="2"/>
  <c r="C458" i="2"/>
  <c r="B458" i="2"/>
  <c r="A458" i="2"/>
  <c r="C457" i="2"/>
  <c r="B457" i="2"/>
  <c r="A457" i="2"/>
  <c r="C456" i="2"/>
  <c r="B456" i="2"/>
  <c r="A456" i="2"/>
  <c r="C455" i="2"/>
  <c r="B455" i="2"/>
  <c r="A455" i="2"/>
  <c r="C454" i="2"/>
  <c r="B454" i="2"/>
  <c r="A454" i="2"/>
  <c r="C453" i="2"/>
  <c r="B453" i="2"/>
  <c r="A453" i="2"/>
  <c r="C452" i="2"/>
  <c r="B452" i="2"/>
  <c r="A452" i="2"/>
  <c r="C451" i="2"/>
  <c r="B451" i="2"/>
  <c r="A451" i="2"/>
  <c r="C450" i="2"/>
  <c r="B450" i="2"/>
  <c r="A450" i="2"/>
  <c r="C449" i="2"/>
  <c r="B449" i="2"/>
  <c r="A449" i="2"/>
  <c r="C448" i="2"/>
  <c r="B448" i="2"/>
  <c r="A448" i="2"/>
  <c r="C447" i="2"/>
  <c r="B447" i="2"/>
  <c r="A447" i="2"/>
  <c r="C446" i="2"/>
  <c r="B446" i="2"/>
  <c r="A446" i="2"/>
  <c r="C445" i="2"/>
  <c r="B445" i="2"/>
  <c r="A445" i="2"/>
  <c r="C444" i="2"/>
  <c r="B444" i="2"/>
  <c r="A444" i="2"/>
  <c r="C443" i="2"/>
  <c r="B443" i="2"/>
  <c r="A443" i="2"/>
  <c r="C442" i="2"/>
  <c r="B442" i="2"/>
  <c r="A442" i="2"/>
  <c r="C441" i="2"/>
  <c r="B441" i="2"/>
  <c r="A441" i="2"/>
  <c r="C440" i="2"/>
  <c r="B440" i="2"/>
  <c r="A440" i="2"/>
  <c r="C439" i="2"/>
  <c r="B439" i="2"/>
  <c r="A439" i="2"/>
  <c r="C438" i="2"/>
  <c r="B438" i="2"/>
  <c r="A438" i="2"/>
  <c r="C437" i="2"/>
  <c r="B437" i="2"/>
  <c r="A437" i="2"/>
  <c r="C436" i="2"/>
  <c r="B436" i="2"/>
  <c r="A436" i="2"/>
  <c r="C435" i="2"/>
  <c r="B435" i="2"/>
  <c r="A435" i="2"/>
  <c r="C434" i="2"/>
  <c r="B434" i="2"/>
  <c r="A434" i="2"/>
  <c r="C433" i="2"/>
  <c r="B433" i="2"/>
  <c r="A433" i="2"/>
  <c r="C432" i="2"/>
  <c r="B432" i="2"/>
  <c r="A432" i="2"/>
  <c r="C431" i="2"/>
  <c r="B431" i="2"/>
  <c r="A431" i="2"/>
  <c r="C430" i="2"/>
  <c r="B430" i="2"/>
  <c r="A430" i="2"/>
  <c r="C429" i="2"/>
  <c r="B429" i="2"/>
  <c r="A429" i="2"/>
  <c r="C428" i="2"/>
  <c r="B428" i="2"/>
  <c r="A428" i="2"/>
  <c r="C427" i="2"/>
  <c r="B427" i="2"/>
  <c r="A427" i="2"/>
  <c r="C426" i="2"/>
  <c r="B426" i="2"/>
  <c r="A426" i="2"/>
  <c r="C425" i="2"/>
  <c r="B425" i="2"/>
  <c r="A425" i="2"/>
  <c r="C424" i="2"/>
  <c r="B424" i="2"/>
  <c r="A424" i="2"/>
  <c r="C423" i="2"/>
  <c r="B423" i="2"/>
  <c r="A423" i="2"/>
  <c r="C422" i="2"/>
  <c r="B422" i="2"/>
  <c r="A422" i="2"/>
  <c r="C421" i="2"/>
  <c r="B421" i="2"/>
  <c r="A421" i="2"/>
  <c r="C420" i="2"/>
  <c r="B420" i="2"/>
  <c r="A420" i="2"/>
  <c r="C419" i="2"/>
  <c r="B419" i="2"/>
  <c r="A419" i="2"/>
  <c r="C418" i="2"/>
  <c r="B418" i="2"/>
  <c r="A418" i="2"/>
  <c r="C417" i="2"/>
  <c r="B417" i="2"/>
  <c r="A417" i="2"/>
  <c r="C416" i="2"/>
  <c r="B416" i="2"/>
  <c r="A416" i="2"/>
  <c r="C415" i="2"/>
  <c r="B415" i="2"/>
  <c r="A415" i="2"/>
  <c r="C414" i="2"/>
  <c r="B414" i="2"/>
  <c r="A414" i="2"/>
  <c r="C413" i="2"/>
  <c r="B413" i="2"/>
  <c r="A413" i="2"/>
  <c r="C412" i="2"/>
  <c r="B412" i="2"/>
  <c r="A412" i="2"/>
  <c r="C411" i="2"/>
  <c r="B411" i="2"/>
  <c r="A411" i="2"/>
  <c r="C410" i="2"/>
  <c r="B410" i="2"/>
  <c r="A410" i="2"/>
  <c r="C409" i="2"/>
  <c r="B409" i="2"/>
  <c r="A409" i="2"/>
  <c r="C408" i="2"/>
  <c r="B408" i="2"/>
  <c r="A408" i="2"/>
  <c r="C407" i="2"/>
  <c r="B407" i="2"/>
  <c r="A407" i="2"/>
  <c r="C406" i="2"/>
  <c r="B406" i="2"/>
  <c r="A406" i="2"/>
  <c r="C405" i="2"/>
  <c r="B405" i="2"/>
  <c r="A405" i="2"/>
  <c r="C404" i="2"/>
  <c r="B404" i="2"/>
  <c r="A404" i="2"/>
  <c r="C403" i="2"/>
  <c r="B403" i="2"/>
  <c r="A403" i="2"/>
  <c r="C402" i="2"/>
  <c r="B402" i="2"/>
  <c r="A402" i="2"/>
  <c r="C401" i="2"/>
  <c r="B401" i="2"/>
  <c r="A401" i="2"/>
  <c r="C400" i="2"/>
  <c r="B400" i="2"/>
  <c r="A400" i="2"/>
  <c r="C399" i="2"/>
  <c r="B399" i="2"/>
  <c r="A399" i="2"/>
  <c r="C398" i="2"/>
  <c r="B398" i="2"/>
  <c r="A398" i="2"/>
  <c r="C397" i="2"/>
  <c r="B397" i="2"/>
  <c r="A397" i="2"/>
  <c r="C396" i="2"/>
  <c r="B396" i="2"/>
  <c r="A396" i="2"/>
  <c r="C395" i="2"/>
  <c r="B395" i="2"/>
  <c r="A395" i="2"/>
  <c r="C394" i="2"/>
  <c r="B394" i="2"/>
  <c r="A394" i="2"/>
  <c r="C393" i="2"/>
  <c r="B393" i="2"/>
  <c r="A393" i="2"/>
  <c r="C392" i="2"/>
  <c r="B392" i="2"/>
  <c r="A392" i="2"/>
  <c r="C391" i="2"/>
  <c r="B391" i="2"/>
  <c r="A391" i="2"/>
  <c r="C390" i="2"/>
  <c r="B390" i="2"/>
  <c r="A390" i="2"/>
  <c r="C389" i="2"/>
  <c r="B389" i="2"/>
  <c r="A389" i="2"/>
  <c r="C388" i="2"/>
  <c r="B388" i="2"/>
  <c r="A388" i="2"/>
  <c r="C387" i="2"/>
  <c r="B387" i="2"/>
  <c r="A387" i="2"/>
  <c r="C386" i="2"/>
  <c r="A386" i="2"/>
  <c r="C385" i="2"/>
  <c r="A385" i="2"/>
  <c r="C384" i="2"/>
  <c r="B384" i="2"/>
  <c r="A384" i="2"/>
  <c r="C383" i="2"/>
  <c r="B383" i="2"/>
  <c r="A383" i="2"/>
  <c r="C382" i="2"/>
  <c r="B382" i="2"/>
  <c r="A382" i="2"/>
  <c r="C381" i="2"/>
  <c r="B381" i="2"/>
  <c r="A381" i="2"/>
  <c r="C380" i="2"/>
  <c r="B380" i="2"/>
  <c r="A380" i="2"/>
  <c r="C379" i="2"/>
  <c r="B379" i="2"/>
  <c r="A379" i="2"/>
  <c r="C378" i="2"/>
  <c r="B378" i="2"/>
  <c r="A378" i="2"/>
  <c r="C377" i="2"/>
  <c r="B377" i="2"/>
  <c r="A377" i="2"/>
  <c r="C376" i="2"/>
  <c r="B376" i="2"/>
  <c r="A376" i="2"/>
  <c r="C375" i="2"/>
  <c r="B375" i="2"/>
  <c r="A375" i="2"/>
  <c r="C374" i="2"/>
  <c r="B374" i="2"/>
  <c r="A374" i="2"/>
  <c r="C373" i="2"/>
  <c r="B373" i="2"/>
  <c r="A373" i="2"/>
  <c r="C372" i="2"/>
  <c r="B372" i="2"/>
  <c r="A372" i="2"/>
  <c r="C371" i="2"/>
  <c r="B371" i="2"/>
  <c r="A371" i="2"/>
  <c r="C370" i="2"/>
  <c r="B370" i="2"/>
  <c r="A370" i="2"/>
  <c r="C369" i="2"/>
  <c r="B369" i="2"/>
  <c r="A369" i="2"/>
  <c r="C368" i="2"/>
  <c r="B368" i="2"/>
  <c r="A368" i="2"/>
  <c r="C367" i="2"/>
  <c r="B367" i="2"/>
  <c r="A367" i="2"/>
  <c r="C366" i="2"/>
  <c r="B366" i="2"/>
  <c r="A366" i="2"/>
  <c r="C365" i="2"/>
  <c r="B365" i="2"/>
  <c r="A365" i="2"/>
  <c r="C364" i="2"/>
  <c r="B364" i="2"/>
  <c r="A364" i="2"/>
  <c r="C363" i="2"/>
  <c r="B363" i="2"/>
  <c r="A363" i="2"/>
  <c r="C362" i="2"/>
  <c r="B362" i="2"/>
  <c r="A362" i="2"/>
  <c r="C361" i="2"/>
  <c r="B361" i="2"/>
  <c r="A361" i="2"/>
  <c r="C360" i="2"/>
  <c r="B360" i="2"/>
  <c r="A360" i="2"/>
  <c r="C359" i="2"/>
  <c r="B359" i="2"/>
  <c r="A359" i="2"/>
  <c r="C358" i="2"/>
  <c r="B358" i="2"/>
  <c r="A358" i="2"/>
  <c r="C357" i="2"/>
  <c r="B357" i="2"/>
  <c r="A357" i="2"/>
  <c r="C356" i="2"/>
  <c r="B356" i="2"/>
  <c r="A356" i="2"/>
  <c r="C355" i="2"/>
  <c r="B355" i="2"/>
  <c r="A355" i="2"/>
  <c r="C354" i="2"/>
  <c r="B354" i="2"/>
  <c r="A354" i="2"/>
  <c r="C353" i="2"/>
  <c r="B353" i="2"/>
  <c r="A353" i="2"/>
  <c r="C352" i="2"/>
  <c r="B352" i="2"/>
  <c r="A352" i="2"/>
  <c r="C351" i="2"/>
  <c r="B351" i="2"/>
  <c r="A351" i="2"/>
  <c r="C350" i="2"/>
  <c r="B350" i="2"/>
  <c r="A350" i="2"/>
  <c r="C349" i="2"/>
  <c r="B349" i="2"/>
  <c r="A349" i="2"/>
  <c r="C348" i="2"/>
  <c r="B348" i="2"/>
  <c r="A348" i="2"/>
  <c r="C347" i="2"/>
  <c r="B347" i="2"/>
  <c r="A347" i="2"/>
  <c r="C346" i="2"/>
  <c r="B346" i="2"/>
  <c r="A346" i="2"/>
  <c r="C345" i="2"/>
  <c r="B345" i="2"/>
  <c r="A345" i="2"/>
  <c r="C344" i="2"/>
  <c r="B344" i="2"/>
  <c r="A344" i="2"/>
  <c r="C343" i="2"/>
  <c r="B343" i="2"/>
  <c r="A343" i="2"/>
  <c r="C342" i="2"/>
  <c r="B342" i="2"/>
  <c r="A342" i="2"/>
  <c r="C341" i="2"/>
  <c r="B341" i="2"/>
  <c r="A341" i="2"/>
  <c r="C340" i="2"/>
  <c r="B340" i="2"/>
  <c r="A340" i="2"/>
  <c r="C339" i="2"/>
  <c r="B339" i="2"/>
  <c r="A339" i="2"/>
  <c r="C338" i="2"/>
  <c r="B338" i="2"/>
  <c r="A338" i="2"/>
  <c r="C337" i="2"/>
  <c r="B337" i="2"/>
  <c r="A337" i="2"/>
  <c r="C336" i="2"/>
  <c r="B336" i="2"/>
  <c r="A336" i="2"/>
  <c r="C335" i="2"/>
  <c r="B335" i="2"/>
  <c r="A335" i="2"/>
  <c r="C334" i="2"/>
  <c r="B334" i="2"/>
  <c r="A334" i="2"/>
  <c r="C333" i="2"/>
  <c r="B333" i="2"/>
  <c r="A333" i="2"/>
  <c r="C332" i="2"/>
  <c r="B332" i="2"/>
  <c r="A332" i="2"/>
  <c r="C331" i="2"/>
  <c r="B331" i="2"/>
  <c r="A331" i="2"/>
  <c r="C330" i="2"/>
  <c r="B330" i="2"/>
  <c r="A330" i="2"/>
  <c r="C329" i="2"/>
  <c r="B329" i="2"/>
  <c r="A329" i="2"/>
  <c r="C328" i="2"/>
  <c r="B328" i="2"/>
  <c r="A328" i="2"/>
  <c r="C327" i="2"/>
  <c r="B327" i="2"/>
  <c r="A327" i="2"/>
  <c r="C326" i="2"/>
  <c r="B326" i="2"/>
  <c r="A326" i="2"/>
  <c r="C325" i="2"/>
  <c r="B325" i="2"/>
  <c r="A325" i="2"/>
  <c r="C324" i="2"/>
  <c r="B324" i="2"/>
  <c r="A324" i="2"/>
  <c r="C323" i="2"/>
  <c r="B323" i="2"/>
  <c r="A323" i="2"/>
  <c r="C322" i="2"/>
  <c r="B322" i="2"/>
  <c r="A322" i="2"/>
  <c r="C321" i="2"/>
  <c r="B321" i="2"/>
  <c r="A321" i="2"/>
  <c r="C320" i="2"/>
  <c r="B320" i="2"/>
  <c r="A320" i="2"/>
  <c r="C319" i="2"/>
  <c r="B319" i="2"/>
  <c r="A319" i="2"/>
  <c r="C318" i="2"/>
  <c r="B318" i="2"/>
  <c r="A318" i="2"/>
  <c r="C317" i="2"/>
  <c r="B317" i="2"/>
  <c r="A317" i="2"/>
  <c r="C316" i="2"/>
  <c r="B316" i="2"/>
  <c r="A316" i="2"/>
  <c r="C315" i="2"/>
  <c r="B315" i="2"/>
  <c r="A315" i="2"/>
  <c r="C314" i="2"/>
  <c r="B314" i="2"/>
  <c r="A314" i="2"/>
  <c r="C313" i="2"/>
  <c r="B313" i="2"/>
  <c r="A313" i="2"/>
  <c r="C312" i="2"/>
  <c r="B312" i="2"/>
  <c r="A312" i="2"/>
  <c r="C311" i="2"/>
  <c r="B311" i="2"/>
  <c r="A311" i="2"/>
  <c r="C310" i="2"/>
  <c r="B310" i="2"/>
  <c r="A310" i="2"/>
  <c r="C309" i="2"/>
  <c r="B309" i="2"/>
  <c r="A309" i="2"/>
  <c r="C308" i="2"/>
  <c r="B308" i="2"/>
  <c r="A308" i="2"/>
  <c r="C307" i="2"/>
  <c r="B307" i="2"/>
  <c r="A307" i="2"/>
  <c r="C306" i="2"/>
  <c r="B306" i="2"/>
  <c r="A306" i="2"/>
  <c r="C305" i="2"/>
  <c r="B305" i="2"/>
  <c r="A305" i="2"/>
  <c r="C304" i="2"/>
  <c r="B304" i="2"/>
  <c r="A304" i="2"/>
  <c r="C303" i="2"/>
  <c r="B303" i="2"/>
  <c r="A303" i="2"/>
  <c r="C302" i="2"/>
  <c r="B302" i="2"/>
  <c r="A302" i="2"/>
  <c r="C301" i="2"/>
  <c r="B301" i="2"/>
  <c r="A301" i="2"/>
  <c r="C300" i="2"/>
  <c r="B300" i="2"/>
  <c r="A300" i="2"/>
  <c r="C299" i="2"/>
  <c r="B299" i="2"/>
  <c r="A299" i="2"/>
  <c r="C298" i="2"/>
  <c r="B298" i="2"/>
  <c r="A298" i="2"/>
  <c r="C297" i="2"/>
  <c r="B297" i="2"/>
  <c r="A297" i="2"/>
  <c r="C296" i="2"/>
  <c r="B296" i="2"/>
  <c r="A296" i="2"/>
  <c r="C295" i="2"/>
  <c r="B295" i="2"/>
  <c r="A295" i="2"/>
  <c r="C294" i="2"/>
  <c r="B294" i="2"/>
  <c r="A294" i="2"/>
  <c r="C293" i="2"/>
  <c r="B293" i="2"/>
  <c r="A293" i="2"/>
  <c r="C292" i="2"/>
  <c r="B292" i="2"/>
  <c r="A292" i="2"/>
  <c r="C291" i="2"/>
  <c r="B291" i="2"/>
  <c r="A291" i="2"/>
  <c r="C290" i="2"/>
  <c r="B290" i="2"/>
  <c r="A290" i="2"/>
  <c r="C289" i="2"/>
  <c r="B289" i="2"/>
  <c r="A289" i="2"/>
  <c r="C288" i="2"/>
  <c r="B288" i="2"/>
  <c r="A288" i="2"/>
  <c r="C287" i="2"/>
  <c r="B287" i="2"/>
  <c r="A287" i="2"/>
  <c r="C286" i="2"/>
  <c r="B286" i="2"/>
  <c r="A286" i="2"/>
  <c r="C285" i="2"/>
  <c r="B285" i="2"/>
  <c r="A285" i="2"/>
  <c r="C284" i="2"/>
  <c r="B284" i="2"/>
  <c r="A284" i="2"/>
  <c r="C283" i="2"/>
  <c r="B283" i="2"/>
  <c r="A283" i="2"/>
  <c r="C282" i="2"/>
  <c r="B282" i="2"/>
  <c r="A282" i="2"/>
  <c r="C281" i="2"/>
  <c r="B281" i="2"/>
  <c r="A281" i="2"/>
  <c r="C280" i="2"/>
  <c r="B280" i="2"/>
  <c r="A280" i="2"/>
  <c r="C279" i="2"/>
  <c r="B279" i="2"/>
  <c r="A279" i="2"/>
  <c r="C278" i="2"/>
  <c r="B278" i="2"/>
  <c r="A278" i="2"/>
  <c r="C277" i="2"/>
  <c r="B277" i="2"/>
  <c r="A277" i="2"/>
  <c r="C276" i="2"/>
  <c r="B276" i="2"/>
  <c r="A276" i="2"/>
  <c r="C275" i="2"/>
  <c r="B275" i="2"/>
  <c r="A275" i="2"/>
  <c r="C274" i="2"/>
  <c r="B274" i="2"/>
  <c r="A274" i="2"/>
  <c r="C273" i="2"/>
  <c r="B273" i="2"/>
  <c r="A273" i="2"/>
  <c r="C272" i="2"/>
  <c r="B272" i="2"/>
  <c r="A272" i="2"/>
  <c r="C271" i="2"/>
  <c r="B271" i="2"/>
  <c r="A271" i="2"/>
  <c r="C270" i="2"/>
  <c r="B270" i="2"/>
  <c r="A270" i="2"/>
  <c r="C269" i="2"/>
  <c r="B269" i="2"/>
  <c r="A269" i="2"/>
  <c r="C268" i="2"/>
  <c r="B268" i="2"/>
  <c r="A268" i="2"/>
  <c r="C267" i="2"/>
  <c r="B267" i="2"/>
  <c r="A267" i="2"/>
  <c r="C266" i="2"/>
  <c r="B266" i="2"/>
  <c r="A266" i="2"/>
  <c r="C265" i="2"/>
  <c r="B265" i="2"/>
  <c r="A265" i="2"/>
  <c r="C264" i="2"/>
  <c r="B264" i="2"/>
  <c r="A264" i="2"/>
  <c r="C263" i="2"/>
  <c r="B263" i="2"/>
  <c r="A263" i="2"/>
  <c r="C262" i="2"/>
  <c r="B262" i="2"/>
  <c r="A262" i="2"/>
  <c r="C261" i="2"/>
  <c r="B261" i="2"/>
  <c r="A261" i="2"/>
  <c r="C260" i="2"/>
  <c r="B260" i="2"/>
  <c r="A260" i="2"/>
  <c r="C259" i="2"/>
  <c r="B259" i="2"/>
  <c r="A259" i="2"/>
  <c r="C258" i="2"/>
  <c r="B258" i="2"/>
  <c r="A258" i="2"/>
  <c r="C257" i="2"/>
  <c r="B257" i="2"/>
  <c r="A257" i="2"/>
  <c r="C256" i="2"/>
  <c r="B256" i="2"/>
  <c r="A256" i="2"/>
  <c r="C255" i="2"/>
  <c r="B255" i="2"/>
  <c r="A255" i="2"/>
  <c r="C254" i="2"/>
  <c r="B254" i="2"/>
  <c r="A254" i="2"/>
  <c r="C253" i="2"/>
  <c r="B253" i="2"/>
  <c r="A253" i="2"/>
  <c r="C252" i="2"/>
  <c r="B252" i="2"/>
  <c r="A252" i="2"/>
  <c r="C251" i="2"/>
  <c r="B251" i="2"/>
  <c r="A251" i="2"/>
  <c r="C250" i="2"/>
  <c r="B250" i="2"/>
  <c r="A250" i="2"/>
  <c r="C249" i="2"/>
  <c r="B249" i="2"/>
  <c r="A249" i="2"/>
  <c r="C248" i="2"/>
  <c r="B248" i="2"/>
  <c r="A248" i="2"/>
  <c r="C247" i="2"/>
  <c r="B247" i="2"/>
  <c r="A247" i="2"/>
  <c r="C246" i="2"/>
  <c r="B246" i="2"/>
  <c r="A246" i="2"/>
  <c r="C245" i="2"/>
  <c r="B245" i="2"/>
  <c r="A245" i="2"/>
  <c r="C244" i="2"/>
  <c r="B244" i="2"/>
  <c r="A244" i="2"/>
  <c r="C243" i="2"/>
  <c r="B243" i="2"/>
  <c r="A243" i="2"/>
  <c r="C242" i="2"/>
  <c r="B242" i="2"/>
  <c r="A242" i="2"/>
  <c r="C241" i="2"/>
  <c r="B241" i="2"/>
  <c r="A241" i="2"/>
  <c r="C240" i="2"/>
  <c r="B240" i="2"/>
  <c r="A240" i="2"/>
  <c r="C239" i="2"/>
  <c r="B239" i="2"/>
  <c r="A239" i="2"/>
  <c r="C238" i="2"/>
  <c r="B238" i="2"/>
  <c r="A238" i="2"/>
  <c r="C237" i="2"/>
  <c r="B237" i="2"/>
  <c r="A237" i="2"/>
  <c r="C236" i="2"/>
  <c r="B236" i="2"/>
  <c r="A236" i="2"/>
  <c r="C235" i="2"/>
  <c r="B235" i="2"/>
  <c r="A235" i="2"/>
  <c r="C234" i="2"/>
  <c r="B234" i="2"/>
  <c r="A234" i="2"/>
  <c r="C233" i="2"/>
  <c r="B233" i="2"/>
  <c r="A233" i="2"/>
  <c r="C232" i="2"/>
  <c r="B232" i="2"/>
  <c r="A232" i="2"/>
  <c r="C231" i="2"/>
  <c r="B231" i="2"/>
  <c r="A231" i="2"/>
  <c r="C230" i="2"/>
  <c r="B230" i="2"/>
  <c r="A230" i="2"/>
  <c r="C229" i="2"/>
  <c r="B229" i="2"/>
  <c r="A229" i="2"/>
  <c r="C228" i="2"/>
  <c r="B228" i="2"/>
  <c r="A228" i="2"/>
  <c r="C227" i="2"/>
  <c r="B227" i="2"/>
  <c r="A227" i="2"/>
  <c r="C226" i="2"/>
  <c r="B226" i="2"/>
  <c r="A226" i="2"/>
  <c r="C225" i="2"/>
  <c r="B225" i="2"/>
  <c r="A225" i="2"/>
  <c r="C224" i="2"/>
  <c r="B224" i="2"/>
  <c r="A224" i="2"/>
  <c r="C223" i="2"/>
  <c r="B223" i="2"/>
  <c r="A223" i="2"/>
  <c r="C222" i="2"/>
  <c r="B222" i="2"/>
  <c r="A222" i="2"/>
  <c r="C221" i="2"/>
  <c r="B221" i="2"/>
  <c r="A221" i="2"/>
  <c r="C220" i="2"/>
  <c r="B220" i="2"/>
  <c r="A220" i="2"/>
  <c r="C219" i="2"/>
  <c r="B219" i="2"/>
  <c r="A219" i="2"/>
  <c r="C218" i="2"/>
  <c r="B218" i="2"/>
  <c r="A218" i="2"/>
  <c r="C217" i="2"/>
  <c r="B217" i="2"/>
  <c r="A217" i="2"/>
  <c r="C216" i="2"/>
  <c r="B216" i="2"/>
  <c r="A216" i="2"/>
  <c r="C215" i="2"/>
  <c r="B215" i="2"/>
  <c r="A215" i="2"/>
  <c r="C214" i="2"/>
  <c r="B214" i="2"/>
  <c r="A214" i="2"/>
  <c r="C213" i="2"/>
  <c r="B213" i="2"/>
  <c r="A213" i="2"/>
  <c r="C212" i="2"/>
  <c r="B212" i="2"/>
  <c r="A212" i="2"/>
  <c r="C211" i="2"/>
  <c r="B211" i="2"/>
  <c r="A211" i="2"/>
  <c r="C210" i="2"/>
  <c r="B210" i="2"/>
  <c r="A210" i="2"/>
  <c r="C209" i="2"/>
  <c r="B209" i="2"/>
  <c r="A209" i="2"/>
  <c r="C208" i="2"/>
  <c r="B208" i="2"/>
  <c r="A208" i="2"/>
  <c r="C207" i="2"/>
  <c r="B207" i="2"/>
  <c r="A207" i="2"/>
  <c r="C206" i="2"/>
  <c r="B206" i="2"/>
  <c r="A206" i="2"/>
  <c r="C205" i="2"/>
  <c r="B205" i="2"/>
  <c r="A205" i="2"/>
  <c r="C204" i="2"/>
  <c r="B204" i="2"/>
  <c r="A204" i="2"/>
  <c r="C203" i="2"/>
  <c r="B203" i="2"/>
  <c r="A203" i="2"/>
  <c r="C202" i="2"/>
  <c r="B202" i="2"/>
  <c r="A202" i="2"/>
  <c r="C201" i="2"/>
  <c r="B201" i="2"/>
  <c r="A201" i="2"/>
  <c r="C200" i="2"/>
  <c r="B200" i="2"/>
  <c r="A200" i="2"/>
  <c r="C199" i="2"/>
  <c r="B199" i="2"/>
  <c r="A199" i="2"/>
  <c r="C198" i="2"/>
  <c r="B198" i="2"/>
  <c r="A198" i="2"/>
  <c r="C197" i="2"/>
  <c r="B197" i="2"/>
  <c r="A197" i="2"/>
  <c r="C196" i="2"/>
  <c r="B196" i="2"/>
  <c r="A196" i="2"/>
  <c r="C195" i="2"/>
  <c r="B195" i="2"/>
  <c r="A195" i="2"/>
  <c r="C194" i="2"/>
  <c r="B194" i="2"/>
  <c r="A194" i="2"/>
  <c r="C193" i="2"/>
  <c r="B193" i="2"/>
  <c r="A193" i="2"/>
  <c r="C192" i="2"/>
  <c r="B192" i="2"/>
  <c r="A192" i="2"/>
  <c r="C191" i="2"/>
  <c r="B191" i="2"/>
  <c r="A191" i="2"/>
  <c r="C190" i="2"/>
  <c r="B190" i="2"/>
  <c r="A190" i="2"/>
  <c r="C189" i="2"/>
  <c r="B189" i="2"/>
  <c r="A189" i="2"/>
  <c r="C188" i="2"/>
  <c r="B188" i="2"/>
  <c r="A188" i="2"/>
  <c r="C187" i="2"/>
  <c r="B187" i="2"/>
  <c r="A187" i="2"/>
  <c r="C186" i="2"/>
  <c r="B186" i="2"/>
  <c r="A186" i="2"/>
  <c r="C185" i="2"/>
  <c r="B185" i="2"/>
  <c r="A185" i="2"/>
  <c r="C184" i="2"/>
  <c r="B184" i="2"/>
  <c r="A184" i="2"/>
  <c r="C183" i="2"/>
  <c r="B183" i="2"/>
  <c r="A183" i="2"/>
  <c r="C182" i="2"/>
  <c r="B182" i="2"/>
  <c r="A182" i="2"/>
  <c r="C181" i="2"/>
  <c r="B181" i="2"/>
  <c r="A181" i="2"/>
  <c r="C180" i="2"/>
  <c r="B180" i="2"/>
  <c r="A180" i="2"/>
  <c r="C179" i="2"/>
  <c r="B179" i="2"/>
  <c r="A179" i="2"/>
  <c r="C178" i="2"/>
  <c r="B178" i="2"/>
  <c r="A178" i="2"/>
  <c r="C177" i="2"/>
  <c r="B177" i="2"/>
  <c r="A177" i="2"/>
  <c r="C176" i="2"/>
  <c r="B176" i="2"/>
  <c r="A176" i="2"/>
  <c r="C175" i="2"/>
  <c r="B175" i="2"/>
  <c r="A175" i="2"/>
  <c r="C174" i="2"/>
  <c r="B174" i="2"/>
  <c r="A174" i="2"/>
  <c r="C173" i="2"/>
  <c r="B173" i="2"/>
  <c r="A173" i="2"/>
  <c r="C172" i="2"/>
  <c r="B172" i="2"/>
  <c r="A172" i="2"/>
  <c r="C171" i="2"/>
  <c r="B171" i="2"/>
  <c r="A171" i="2"/>
  <c r="C170" i="2"/>
  <c r="B170" i="2"/>
  <c r="A170" i="2"/>
  <c r="C169" i="2"/>
  <c r="B169" i="2"/>
  <c r="A169" i="2"/>
  <c r="C168" i="2"/>
  <c r="B168" i="2"/>
  <c r="A168" i="2"/>
  <c r="C167" i="2"/>
  <c r="B167" i="2"/>
  <c r="A167" i="2"/>
  <c r="C166" i="2"/>
  <c r="B166" i="2"/>
  <c r="A166" i="2"/>
  <c r="C165" i="2"/>
  <c r="B165" i="2"/>
  <c r="A165" i="2"/>
  <c r="C164" i="2"/>
  <c r="B164" i="2"/>
  <c r="A164" i="2"/>
  <c r="C163" i="2"/>
  <c r="B163" i="2"/>
  <c r="A163" i="2"/>
  <c r="C162" i="2"/>
  <c r="B162" i="2"/>
  <c r="A162" i="2"/>
  <c r="C161" i="2"/>
  <c r="B161" i="2"/>
  <c r="A161" i="2"/>
  <c r="C160" i="2"/>
  <c r="B160" i="2"/>
  <c r="A160" i="2"/>
  <c r="C159" i="2"/>
  <c r="B159" i="2"/>
  <c r="A159" i="2"/>
  <c r="C158" i="2"/>
  <c r="B158" i="2"/>
  <c r="A158" i="2"/>
  <c r="C157" i="2"/>
  <c r="B157" i="2"/>
  <c r="A157" i="2"/>
  <c r="C156" i="2"/>
  <c r="B156" i="2"/>
  <c r="A156" i="2"/>
  <c r="C155" i="2"/>
  <c r="B155" i="2"/>
  <c r="A155" i="2"/>
  <c r="C154" i="2"/>
  <c r="B154" i="2"/>
  <c r="A154" i="2"/>
  <c r="C153" i="2"/>
  <c r="B153" i="2"/>
  <c r="A153" i="2"/>
  <c r="C152" i="2"/>
  <c r="B152" i="2"/>
  <c r="A152" i="2"/>
  <c r="C151" i="2"/>
  <c r="B151" i="2"/>
  <c r="A151" i="2"/>
  <c r="C150" i="2"/>
  <c r="B150" i="2"/>
  <c r="A150" i="2"/>
  <c r="C149" i="2"/>
  <c r="B149" i="2"/>
  <c r="A149" i="2"/>
  <c r="C148" i="2"/>
  <c r="B148" i="2"/>
  <c r="A148" i="2"/>
  <c r="C147" i="2"/>
  <c r="B147" i="2"/>
  <c r="A147" i="2"/>
  <c r="C146" i="2"/>
  <c r="B146" i="2"/>
  <c r="A146" i="2"/>
  <c r="C145" i="2"/>
  <c r="B145" i="2"/>
  <c r="A145" i="2"/>
  <c r="C144" i="2"/>
  <c r="B144" i="2"/>
  <c r="A144" i="2"/>
  <c r="C143" i="2"/>
  <c r="B143" i="2"/>
  <c r="A143" i="2"/>
  <c r="C142" i="2"/>
  <c r="B142" i="2"/>
  <c r="A142" i="2"/>
  <c r="C141" i="2"/>
  <c r="B141" i="2"/>
  <c r="A141" i="2"/>
  <c r="C140" i="2"/>
  <c r="B140" i="2"/>
  <c r="A140" i="2"/>
  <c r="C139" i="2"/>
  <c r="B139" i="2"/>
  <c r="A139" i="2"/>
  <c r="C138" i="2"/>
  <c r="B138" i="2"/>
  <c r="A138" i="2"/>
  <c r="C137" i="2"/>
  <c r="B137" i="2"/>
  <c r="A137" i="2"/>
  <c r="C136" i="2"/>
  <c r="B136" i="2"/>
  <c r="A136" i="2"/>
  <c r="C135" i="2"/>
  <c r="B135" i="2"/>
  <c r="A135" i="2"/>
  <c r="C134" i="2"/>
  <c r="B134" i="2"/>
  <c r="A134" i="2"/>
  <c r="C133" i="2"/>
  <c r="B133" i="2"/>
  <c r="A133" i="2"/>
  <c r="C132" i="2"/>
  <c r="B132" i="2"/>
  <c r="A132" i="2"/>
  <c r="C131" i="2"/>
  <c r="B131" i="2"/>
  <c r="A131" i="2"/>
  <c r="C130" i="2"/>
  <c r="B130" i="2"/>
  <c r="A130" i="2"/>
  <c r="C129" i="2"/>
  <c r="B129" i="2"/>
  <c r="A129" i="2"/>
  <c r="C128" i="2"/>
  <c r="B128" i="2"/>
  <c r="A128" i="2"/>
  <c r="C127" i="2"/>
  <c r="B127" i="2"/>
  <c r="A127" i="2"/>
  <c r="C126" i="2"/>
  <c r="B126" i="2"/>
  <c r="A126" i="2"/>
  <c r="C125" i="2"/>
  <c r="B125" i="2"/>
  <c r="A125" i="2"/>
  <c r="C124" i="2"/>
  <c r="B124" i="2"/>
  <c r="A124" i="2"/>
  <c r="C123" i="2"/>
  <c r="B123" i="2"/>
  <c r="A123" i="2"/>
  <c r="C122" i="2"/>
  <c r="B122" i="2"/>
  <c r="A122" i="2"/>
  <c r="C121" i="2"/>
  <c r="B121" i="2"/>
  <c r="A121" i="2"/>
  <c r="C120" i="2"/>
  <c r="B120" i="2"/>
  <c r="A120" i="2"/>
  <c r="C119" i="2"/>
  <c r="B119" i="2"/>
  <c r="A119" i="2"/>
  <c r="C118" i="2"/>
  <c r="B118" i="2"/>
  <c r="A118" i="2"/>
  <c r="C117" i="2"/>
  <c r="B117" i="2"/>
  <c r="A117" i="2"/>
  <c r="C116" i="2"/>
  <c r="B116" i="2"/>
  <c r="A116" i="2"/>
  <c r="C115" i="2"/>
  <c r="B115" i="2"/>
  <c r="A115" i="2"/>
  <c r="C114" i="2"/>
  <c r="B114" i="2"/>
  <c r="A114" i="2"/>
  <c r="C113" i="2"/>
  <c r="B113" i="2"/>
  <c r="A113" i="2"/>
  <c r="C112" i="2"/>
  <c r="B112" i="2"/>
  <c r="A112" i="2"/>
  <c r="C111" i="2"/>
  <c r="B111" i="2"/>
  <c r="A111" i="2"/>
  <c r="C110" i="2"/>
  <c r="B110" i="2"/>
  <c r="A110" i="2"/>
  <c r="C109" i="2"/>
  <c r="B109" i="2"/>
  <c r="A109" i="2"/>
  <c r="C108" i="2"/>
  <c r="B108" i="2"/>
  <c r="A108" i="2"/>
  <c r="C107" i="2"/>
  <c r="B107" i="2"/>
  <c r="A107" i="2"/>
  <c r="C106" i="2"/>
  <c r="B106" i="2"/>
  <c r="A106" i="2"/>
  <c r="C105" i="2"/>
  <c r="B105" i="2"/>
  <c r="A105" i="2"/>
  <c r="C104" i="2"/>
  <c r="B104" i="2"/>
  <c r="A104" i="2"/>
  <c r="C103" i="2"/>
  <c r="B103" i="2"/>
  <c r="A103" i="2"/>
  <c r="C102" i="2"/>
  <c r="B102" i="2"/>
  <c r="A102" i="2"/>
  <c r="C101" i="2"/>
  <c r="B101" i="2"/>
  <c r="A101" i="2"/>
  <c r="C100" i="2"/>
  <c r="B100" i="2"/>
  <c r="A100" i="2"/>
  <c r="C99" i="2"/>
  <c r="B99" i="2"/>
  <c r="A99" i="2"/>
  <c r="C98" i="2"/>
  <c r="B98" i="2"/>
  <c r="A98" i="2"/>
  <c r="C97" i="2"/>
  <c r="B97" i="2"/>
  <c r="A97" i="2"/>
  <c r="C96" i="2"/>
  <c r="B96" i="2"/>
  <c r="A96" i="2"/>
  <c r="C95" i="2"/>
  <c r="B95" i="2"/>
  <c r="A95" i="2"/>
  <c r="C94" i="2"/>
  <c r="B94" i="2"/>
  <c r="A94" i="2"/>
  <c r="C93" i="2"/>
  <c r="B93" i="2"/>
  <c r="A93" i="2"/>
  <c r="C92" i="2"/>
  <c r="B92" i="2"/>
  <c r="A92" i="2"/>
  <c r="C91" i="2"/>
  <c r="B91" i="2"/>
  <c r="A91" i="2"/>
  <c r="C90" i="2"/>
  <c r="B90" i="2"/>
  <c r="A90" i="2"/>
  <c r="C89" i="2"/>
  <c r="B89" i="2"/>
  <c r="A89" i="2"/>
  <c r="C88" i="2"/>
  <c r="B88" i="2"/>
  <c r="A88" i="2"/>
  <c r="C87" i="2"/>
  <c r="B87" i="2"/>
  <c r="A87" i="2"/>
  <c r="C86" i="2"/>
  <c r="B86" i="2"/>
  <c r="A86" i="2"/>
  <c r="C85" i="2"/>
  <c r="B85" i="2"/>
  <c r="A85" i="2"/>
  <c r="C84" i="2"/>
  <c r="B84" i="2"/>
  <c r="A84" i="2"/>
  <c r="C83" i="2"/>
  <c r="B83" i="2"/>
  <c r="A83" i="2"/>
  <c r="C82" i="2"/>
  <c r="B82" i="2"/>
  <c r="A82" i="2"/>
  <c r="C81" i="2"/>
  <c r="B81" i="2"/>
  <c r="A81" i="2"/>
  <c r="C80" i="2"/>
  <c r="B80" i="2"/>
  <c r="A80" i="2"/>
  <c r="C79" i="2"/>
  <c r="B79" i="2"/>
  <c r="A79" i="2"/>
  <c r="C78" i="2"/>
  <c r="B78" i="2"/>
  <c r="A78" i="2"/>
  <c r="C77" i="2"/>
  <c r="B77" i="2"/>
  <c r="A77" i="2"/>
  <c r="C76" i="2"/>
  <c r="B76" i="2"/>
  <c r="A76" i="2"/>
  <c r="C75" i="2"/>
  <c r="B75" i="2"/>
  <c r="A75" i="2"/>
  <c r="C74" i="2"/>
  <c r="B74" i="2"/>
  <c r="A74" i="2"/>
  <c r="C73" i="2"/>
  <c r="B73" i="2"/>
  <c r="A73" i="2"/>
  <c r="C72" i="2"/>
  <c r="B72" i="2"/>
  <c r="A72" i="2"/>
  <c r="C71" i="2"/>
  <c r="B71" i="2"/>
  <c r="A71" i="2"/>
  <c r="C70" i="2"/>
  <c r="B70" i="2"/>
  <c r="A70" i="2"/>
  <c r="C69" i="2"/>
  <c r="B69" i="2"/>
  <c r="A69" i="2"/>
  <c r="C68" i="2"/>
  <c r="B68" i="2"/>
  <c r="A68" i="2"/>
  <c r="C67" i="2"/>
  <c r="A67" i="2"/>
  <c r="C66" i="2"/>
  <c r="B66" i="2"/>
  <c r="A66" i="2"/>
  <c r="C65" i="2"/>
  <c r="B65" i="2"/>
  <c r="A65" i="2"/>
  <c r="C64" i="2"/>
  <c r="B64" i="2"/>
  <c r="A64" i="2"/>
  <c r="C63" i="2"/>
  <c r="B63" i="2"/>
  <c r="A63" i="2"/>
  <c r="C62" i="2"/>
  <c r="B62" i="2"/>
  <c r="A62" i="2"/>
  <c r="C61" i="2"/>
  <c r="B61" i="2"/>
  <c r="A61" i="2"/>
  <c r="C60" i="2"/>
  <c r="B60" i="2"/>
  <c r="A60" i="2"/>
  <c r="C59" i="2"/>
  <c r="B59" i="2"/>
  <c r="A59" i="2"/>
  <c r="C58" i="2"/>
  <c r="B58" i="2"/>
  <c r="A58" i="2"/>
  <c r="C57" i="2"/>
  <c r="B57" i="2"/>
  <c r="A57" i="2"/>
  <c r="C56" i="2"/>
  <c r="B56" i="2"/>
  <c r="A56" i="2"/>
  <c r="C55" i="2"/>
  <c r="B55" i="2"/>
  <c r="A55" i="2"/>
  <c r="C54" i="2"/>
  <c r="B54" i="2"/>
  <c r="A54" i="2"/>
  <c r="C53" i="2"/>
  <c r="B53" i="2"/>
  <c r="A53" i="2"/>
  <c r="C52" i="2"/>
  <c r="B52" i="2"/>
  <c r="A52" i="2"/>
  <c r="C51" i="2"/>
  <c r="B51" i="2"/>
  <c r="A51" i="2"/>
  <c r="C50" i="2"/>
  <c r="B50" i="2"/>
  <c r="A50" i="2"/>
  <c r="C49" i="2"/>
  <c r="B49" i="2"/>
  <c r="A49" i="2"/>
  <c r="C48" i="2"/>
  <c r="B48" i="2"/>
  <c r="A48" i="2"/>
  <c r="C47" i="2"/>
  <c r="B47" i="2"/>
  <c r="A47" i="2"/>
  <c r="C46" i="2"/>
  <c r="B46" i="2"/>
  <c r="A46" i="2"/>
  <c r="C45" i="2"/>
  <c r="B45" i="2"/>
  <c r="A45" i="2"/>
  <c r="C44" i="2"/>
  <c r="B44" i="2"/>
  <c r="A44" i="2"/>
  <c r="C43" i="2"/>
  <c r="B43" i="2"/>
  <c r="A43" i="2"/>
  <c r="C42" i="2"/>
  <c r="B42" i="2"/>
  <c r="A42" i="2"/>
  <c r="C41" i="2"/>
  <c r="B41" i="2"/>
  <c r="A41" i="2"/>
  <c r="C40" i="2"/>
  <c r="B40" i="2"/>
  <c r="A40" i="2"/>
  <c r="C39" i="2"/>
  <c r="A39" i="2"/>
  <c r="C38" i="2"/>
  <c r="B38" i="2"/>
  <c r="A38" i="2"/>
  <c r="C37" i="2"/>
  <c r="B37" i="2"/>
  <c r="A37" i="2"/>
  <c r="C36" i="2"/>
  <c r="B36" i="2"/>
  <c r="A36" i="2"/>
  <c r="C35" i="2"/>
  <c r="B35" i="2"/>
  <c r="A35" i="2"/>
  <c r="C34" i="2"/>
  <c r="B34" i="2"/>
  <c r="A34" i="2"/>
  <c r="C33" i="2"/>
  <c r="B33" i="2"/>
  <c r="A33" i="2"/>
  <c r="C32" i="2"/>
  <c r="B32" i="2"/>
  <c r="A32" i="2"/>
  <c r="C31" i="2"/>
  <c r="B31" i="2"/>
  <c r="A31" i="2"/>
  <c r="C30" i="2"/>
  <c r="B30" i="2"/>
  <c r="A30" i="2"/>
  <c r="C29" i="2"/>
  <c r="B29" i="2"/>
  <c r="A29" i="2"/>
  <c r="C28" i="2"/>
  <c r="B28" i="2"/>
  <c r="A28" i="2"/>
  <c r="C27" i="2"/>
  <c r="B27" i="2"/>
  <c r="A27" i="2"/>
  <c r="C26" i="2"/>
  <c r="B26" i="2"/>
  <c r="A26" i="2"/>
  <c r="C25" i="2"/>
  <c r="B25" i="2"/>
  <c r="A25" i="2"/>
  <c r="C24" i="2"/>
  <c r="B24" i="2"/>
  <c r="A24" i="2"/>
  <c r="C23" i="2"/>
  <c r="B23" i="2"/>
  <c r="A23" i="2"/>
  <c r="C22" i="2"/>
  <c r="B22" i="2"/>
  <c r="A22" i="2"/>
  <c r="C21" i="2"/>
  <c r="B21" i="2"/>
  <c r="A21" i="2"/>
  <c r="C20" i="2"/>
  <c r="B20" i="2"/>
  <c r="A20" i="2"/>
  <c r="C19" i="2"/>
  <c r="B19" i="2"/>
  <c r="A19" i="2"/>
  <c r="C18" i="2"/>
  <c r="B18" i="2"/>
  <c r="A18" i="2"/>
  <c r="C17" i="2"/>
  <c r="B17" i="2"/>
  <c r="A17" i="2"/>
  <c r="C16" i="2"/>
  <c r="B16" i="2"/>
  <c r="A16" i="2"/>
  <c r="C15" i="2"/>
  <c r="B15" i="2"/>
  <c r="A15" i="2"/>
  <c r="C14" i="2"/>
  <c r="B14" i="2"/>
  <c r="A14" i="2"/>
  <c r="C13" i="2"/>
  <c r="B13" i="2"/>
  <c r="A13" i="2"/>
  <c r="C12" i="2"/>
  <c r="B12" i="2"/>
  <c r="A12" i="2"/>
  <c r="C11" i="2"/>
  <c r="B11" i="2"/>
  <c r="A11" i="2"/>
  <c r="C10" i="2"/>
  <c r="B10" i="2"/>
  <c r="A10" i="2"/>
  <c r="C9" i="2"/>
  <c r="B9" i="2"/>
  <c r="A9" i="2"/>
  <c r="C8" i="2"/>
  <c r="B8" i="2"/>
  <c r="A8" i="2"/>
  <c r="C7" i="2"/>
  <c r="B7" i="2"/>
  <c r="A7" i="2"/>
  <c r="C6" i="2"/>
  <c r="B6" i="2"/>
  <c r="A6" i="2"/>
  <c r="C5" i="2"/>
  <c r="B5" i="2"/>
  <c r="A5" i="2"/>
  <c r="C4" i="2"/>
  <c r="B4" i="2"/>
  <c r="A4" i="2"/>
  <c r="C3" i="2"/>
  <c r="B3" i="2"/>
  <c r="A3" i="2"/>
  <c r="C2" i="2"/>
  <c r="B2" i="2"/>
  <c r="A2" i="2"/>
  <c r="C1" i="2"/>
  <c r="B1" i="2"/>
</calcChain>
</file>

<file path=xl/sharedStrings.xml><?xml version="1.0" encoding="utf-8"?>
<sst xmlns="http://schemas.openxmlformats.org/spreadsheetml/2006/main" count="1" uniqueCount="1">
  <si>
    <t>Наименование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</si>
</sst>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Arial"/>
      <scheme val="minor"/>
    </font>
    <font>
      <b/>
      <sz val="10"/>
      <color theme="1"/>
      <name val="Calibri"/>
    </font>
    <font>
      <sz val="10"/>
      <color theme="1"/>
      <name val="Calibri"/>
    </font>
    <font>
      <sz val="9"/>
      <color theme="1"/>
      <name val="Arial"/>
      <scheme val="minor"/>
    </font>
    <font>
      <sz val="10"/>
      <color theme="1"/>
      <name val="Montserrat"/>
    </font>
    <font>
      <sz val="10"/>
      <color theme="1"/>
      <name val="Calibri"/>
    </font>
  </fonts>
  <fills count="3">
    <fill>
      <patternFill patternType="none"/>
    </fill>
    <fill>
      <patternFill patternType="gray125"/>
    </fill>
    <fill>
      <patternFill patternType="solid">
        <fgColor rgb="FF93C47D"/>
        <bgColor rgb="FF93C47D"/>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applyFont="1" applyAlignment="1"/>
    <xf numFmtId="0" fontId="1" fillId="2" borderId="1" xfId="0" applyFont="1" applyFill="1" applyBorder="1" applyAlignment="1">
      <alignment horizontal="center" vertical="top"/>
    </xf>
    <xf numFmtId="0" fontId="3" fillId="0" borderId="0" xfId="0" applyFont="1"/>
    <xf numFmtId="49" fontId="1" fillId="2" borderId="1" xfId="0" applyNumberFormat="1" applyFont="1" applyFill="1" applyBorder="1" applyAlignment="1">
      <alignment horizontal="center" vertical="top"/>
    </xf>
    <xf numFmtId="2" fontId="1" fillId="2" borderId="1" xfId="0" applyNumberFormat="1" applyFont="1" applyFill="1" applyBorder="1" applyAlignment="1">
      <alignment horizontal="center" vertical="top"/>
    </xf>
    <xf numFmtId="49" fontId="2" fillId="0" borderId="0" xfId="0" applyNumberFormat="1" applyFont="1" applyAlignment="1">
      <alignment vertical="top" wrapText="1"/>
    </xf>
    <xf numFmtId="0" fontId="2" fillId="0" borderId="0" xfId="0" applyFont="1" applyAlignment="1">
      <alignment horizontal="center" vertical="center" wrapText="1"/>
    </xf>
    <xf numFmtId="2" fontId="3" fillId="0" borderId="0" xfId="0" applyNumberFormat="1" applyFont="1"/>
    <xf numFmtId="0" fontId="4" fillId="0" borderId="0" xfId="0" applyFont="1"/>
    <xf numFmtId="2" fontId="2" fillId="0" borderId="0" xfId="0" applyNumberFormat="1" applyFont="1" applyAlignment="1">
      <alignment horizontal="center" vertical="center" wrapText="1"/>
    </xf>
    <xf numFmtId="0" fontId="2" fillId="0" borderId="0" xfId="0" applyFont="1" applyAlignment="1">
      <alignment vertical="top" wrapText="1"/>
    </xf>
    <xf numFmtId="2" fontId="2" fillId="0" borderId="0" xfId="0" applyNumberFormat="1" applyFont="1" applyAlignment="1">
      <alignment horizontal="center" vertical="center" wrapText="1"/>
    </xf>
    <xf numFmtId="49" fontId="5" fillId="0" borderId="0" xfId="0" applyNumberFormat="1" applyFont="1" applyAlignment="1">
      <alignment vertical="top" wrapText="1"/>
    </xf>
    <xf numFmtId="0" fontId="5" fillId="0" borderId="0" xfId="0" applyFont="1" applyAlignment="1">
      <alignment horizontal="center" vertical="center" wrapText="1"/>
    </xf>
    <xf numFmtId="2" fontId="5" fillId="0" borderId="0" xfId="0" applyNumberFormat="1" applyFont="1" applyAlignment="1">
      <alignment horizontal="center" vertical="center" wrapText="1"/>
    </xf>
    <xf numFmtId="0" fontId="5" fillId="0" borderId="0" xfId="0" applyFont="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2034"/>
  <sheetViews>
    <sheetView tabSelected="1" workbookViewId="0">
      <selection activeCell="G11" sqref="G11"/>
    </sheetView>
  </sheetViews>
  <sheetFormatPr defaultColWidth="12.5703125" defaultRowHeight="15.75" customHeight="1"/>
  <cols>
    <col min="1" max="1" width="53.42578125" customWidth="1"/>
    <col min="2" max="2" width="35.5703125" customWidth="1"/>
    <col min="3" max="3" width="8.7109375" customWidth="1"/>
  </cols>
  <sheetData>
    <row r="1" spans="1:5" ht="15.75" customHeight="1">
      <c r="A1" s="3" t="s">
        <v>0</v>
      </c>
      <c r="B1" s="1" t="str">
        <f ca="1">IFERROR(__xludf.DUMMYFUNCTION("""COMPUTED_VALUE"""),"Краткая характеристика")</f>
        <v>Краткая характеристика</v>
      </c>
      <c r="C1" s="4" t="str">
        <f ca="1">IFERROR(__xludf.DUMMYFUNCTION("""COMPUTED_VALUE"""),"Розница")</f>
        <v>Розница</v>
      </c>
      <c r="E1" s="2"/>
    </row>
    <row r="2" spans="1:5" ht="15.75" customHeight="1">
      <c r="A2" s="5" t="str">
        <f ca="1">IFERROR(__xludf.DUMMYFUNCTION("""COMPUTED_VALUE"""),"КГСК-1 IP66 ")</f>
        <v xml:space="preserve">КГСК-1 IP66 </v>
      </c>
      <c r="B2" s="6" t="str">
        <f ca="1">IFERROR(__xludf.DUMMYFUNCTION("""COMPUTED_VALUE"""),"-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f>
        <v>-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v>
      </c>
      <c r="C2" s="7">
        <f ca="1">IFERROR(__xludf.DUMMYFUNCTION("""COMPUTED_VALUE"""),2960)</f>
        <v>2960</v>
      </c>
      <c r="D2" s="2"/>
      <c r="E2" s="8"/>
    </row>
    <row r="3" spans="1:5" ht="15.75" customHeight="1">
      <c r="A3" s="5" t="str">
        <f ca="1">IFERROR(__xludf.DUMMYFUNCTION("""COMPUTED_VALUE"""),"КГСК-2 IP66 ")</f>
        <v xml:space="preserve">КГСК-2 IP66 </v>
      </c>
      <c r="B3" s="6" t="str">
        <f ca="1">IFERROR(__xludf.DUMMYFUNCTION("""COMPUTED_VALUE"""),"-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f>
        <v>- высокая степень защиты от пыли и влаги (IP66 по ГОСТ 14254-2015),- надежное, безопасное и быстрое соединение (с помощью отвертки непосредственно на объекте),- возможность комплектации различными кабельными вводами.</v>
      </c>
      <c r="C3" s="9">
        <f ca="1">IFERROR(__xludf.DUMMYFUNCTION("""COMPUTED_VALUE"""),6480)</f>
        <v>6480</v>
      </c>
      <c r="D3" s="6"/>
      <c r="E3" s="8"/>
    </row>
    <row r="4" spans="1:5" ht="15.75" customHeight="1">
      <c r="A4" s="5" t="str">
        <f ca="1">IFERROR(__xludf.DUMMYFUNCTION("""COMPUTED_VALUE"""),"КСП-6 АЯКС IP65")</f>
        <v>КСП-6 АЯКС IP65</v>
      </c>
      <c r="B4" s="6" t="str">
        <f ca="1">IFERROR(__xludf.DUMMYFUNCTION("""COMPUTED_VALUE"""),"Клеммная коробка 60х60х30, IP65, 6 винтовых клемм (до 4мм2), 2 кабельных ввода
 ПКВ12х1,5 (под кабель д. 3 - 5,3 мм), габариты")</f>
        <v>Клеммная коробка 60х60х30, IP65, 6 винтовых клемм (до 4мм2), 2 кабельных ввода
 ПКВ12х1,5 (под кабель д. 3 - 5,3 мм), габариты</v>
      </c>
      <c r="C4" s="9">
        <f ca="1">IFERROR(__xludf.DUMMYFUNCTION("""COMPUTED_VALUE"""),580)</f>
        <v>580</v>
      </c>
      <c r="D4" s="6"/>
      <c r="E4" s="8"/>
    </row>
    <row r="5" spans="1:5" ht="15.75" customHeight="1">
      <c r="A5" s="5" t="str">
        <f ca="1">IFERROR(__xludf.DUMMYFUNCTION("""COMPUTED_VALUE"""),"КСП-Т-6 АЯКС IP65")</f>
        <v>КСП-Т-6 АЯКС IP65</v>
      </c>
      <c r="B5" s="6" t="str">
        <f ca="1">IFERROR(__xludf.DUMMYFUNCTION("""COMPUTED_VALUE"""),"Клеммная коробка, 60х60х30, IP65, с датчиком вскрытия корпуса, 6 винтовых клемм (до 4мм2), 2 кабельных ввода
 ПКВ12х1,5 (под кабель д. 3 - 5,3 мм)")</f>
        <v>Клеммная коробка, 60х60х30, IP65, с датчиком вскрытия корпуса, 6 винтовых клемм (до 4мм2), 2 кабельных ввода
 ПКВ12х1,5 (под кабель д. 3 - 5,3 мм)</v>
      </c>
      <c r="C5" s="9">
        <f ca="1">IFERROR(__xludf.DUMMYFUNCTION("""COMPUTED_VALUE"""),880)</f>
        <v>880</v>
      </c>
      <c r="D5" s="6"/>
      <c r="E5" s="8"/>
    </row>
    <row r="6" spans="1:5" ht="15.75" customHeight="1">
      <c r="A6" s="5" t="str">
        <f ca="1">IFERROR(__xludf.DUMMYFUNCTION("""COMPUTED_VALUE"""),"КСП-10 АЯКС IP66")</f>
        <v>КСП-10 АЯКС IP66</v>
      </c>
      <c r="B6" s="6" t="str">
        <f ca="1">IFERROR(__xludf.DUMMYFUNCTION("""COMPUTED_VALUE"""),"Клеммная коробка 120х103х50, IP66,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6" s="9">
        <f ca="1">IFERROR(__xludf.DUMMYFUNCTION("""COMPUTED_VALUE"""),1480)</f>
        <v>1480</v>
      </c>
      <c r="D6" s="6"/>
      <c r="E6" s="8"/>
    </row>
    <row r="7" spans="1:5" ht="15.75" customHeight="1">
      <c r="A7" s="5" t="str">
        <f ca="1">IFERROR(__xludf.DUMMYFUNCTION("""COMPUTED_VALUE"""),"КСП-10 АЯКС IP66 Wago")</f>
        <v>КСП-10 АЯКС IP66 Wago</v>
      </c>
      <c r="B7" s="6" t="str">
        <f ca="1">IFERROR(__xludf.DUMMYFUNCTION("""COMPUTED_VALUE"""),"Клеммная коробка 120х103х50, IP66, 10 клемм типа Wago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клемм типа Wago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7" s="9">
        <f ca="1">IFERROR(__xludf.DUMMYFUNCTION("""COMPUTED_VALUE"""),1880)</f>
        <v>1880</v>
      </c>
      <c r="D7" s="6"/>
      <c r="E7" s="8"/>
    </row>
    <row r="8" spans="1:5" ht="15.75" customHeight="1">
      <c r="A8" s="5" t="str">
        <f ca="1">IFERROR(__xludf.DUMMYFUNCTION("""COMPUTED_VALUE"""),"КСП-10 АЯКС IP66 (10мм2)")</f>
        <v>КСП-10 АЯКС IP66 (10мм2)</v>
      </c>
      <c r="B8" s="6" t="str">
        <f ca="1">IFERROR(__xludf.DUMMYFUNCTION("""COMPUTED_VALUE"""),"Клеммная коробка 120х103х50, IP66, 10 винтовых клемм (до 10мм2),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120х103х50, IP66, 10 винтовых клемм (до 10мм2),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8" s="9">
        <f ca="1">IFERROR(__xludf.DUMMYFUNCTION("""COMPUTED_VALUE"""),1920)</f>
        <v>1920</v>
      </c>
      <c r="D8" s="6"/>
      <c r="E8" s="8"/>
    </row>
    <row r="9" spans="1:5" ht="15.75" customHeight="1">
      <c r="A9" s="5" t="str">
        <f ca="1">IFERROR(__xludf.DUMMYFUNCTION("""COMPUTED_VALUE"""),"КСП-Т-10 АЯКС IP66")</f>
        <v>КСП-Т-10 АЯКС IP66</v>
      </c>
      <c r="B9" s="6" t="str">
        <f ca="1">IFERROR(__xludf.DUMMYFUNCTION("""COMPUTED_VALUE"""),"Клеммная коробка 120х103х50, IP66, с датчиком вскрытия корпуса,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кабельн"&amp;"ой прокладки, шин заземления, клапана выравнивания давления, комплектация двухкомпонентным компаундом.")</f>
        <v>Клеммная коробка 120х103х50, IP66, с датчиком вскрытия корпуса, 10 винтовых клемм (до 4мм2), 4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9" s="9">
        <f ca="1">IFERROR(__xludf.DUMMYFUNCTION("""COMPUTED_VALUE"""),1780)</f>
        <v>1780</v>
      </c>
      <c r="D9" s="6"/>
      <c r="E9" s="8"/>
    </row>
    <row r="10" spans="1:5" ht="15.75" customHeight="1">
      <c r="A10" s="5" t="str">
        <f ca="1">IFERROR(__xludf.DUMMYFUNCTION("""COMPUTED_VALUE"""),"КСП-15 АЯКС IP66")</f>
        <v>КСП-15 АЯКС IP66</v>
      </c>
      <c r="B10" s="6" t="str">
        <f ca="1">IFERROR(__xludf.DUMMYFUNCTION("""COMPUTED_VALUE"""),"Клеммная коробка 195х80х75,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195х80х75,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0" s="9">
        <f ca="1">IFERROR(__xludf.DUMMYFUNCTION("""COMPUTED_VALUE"""),2300)</f>
        <v>2300</v>
      </c>
      <c r="D10" s="6"/>
      <c r="E10" s="8"/>
    </row>
    <row r="11" spans="1:5" ht="15.75" customHeight="1">
      <c r="A11" s="5" t="str">
        <f ca="1">IFERROR(__xludf.DUMMYFUNCTION("""COMPUTED_VALUE"""),"КСП-15 АЯКС IP66 Wago")</f>
        <v>КСП-15 АЯКС IP66 Wago</v>
      </c>
      <c r="B11" s="6" t="str">
        <f ca="1">IFERROR(__xludf.DUMMYFUNCTION("""COMPUTED_VALUE"""),"Клеммная коробка 195х80х75, IP66, 15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заземлени"&amp;"я, клапана выравнивания давления, комплектация двухкомпонентным компаундом.")</f>
        <v>Клеммная коробка 195х80х75, IP66, 15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1" s="9">
        <f ca="1">IFERROR(__xludf.DUMMYFUNCTION("""COMPUTED_VALUE"""),2900)</f>
        <v>2900</v>
      </c>
      <c r="D11" s="6"/>
      <c r="E11" s="8"/>
    </row>
    <row r="12" spans="1:5" ht="15.75" customHeight="1">
      <c r="A12" s="5" t="str">
        <f ca="1">IFERROR(__xludf.DUMMYFUNCTION("""COMPUTED_VALUE"""),"КСП-Т-15 АЯКС IP66")</f>
        <v>КСП-Т-15 АЯКС IP66</v>
      </c>
      <c r="B12" s="6" t="str">
        <f ca="1">IFERROR(__xludf.DUMMYFUNCTION("""COMPUTED_VALUE"""),"Клеммная коробка 195х80х75, с датчиком вскрытия корпуса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кабельно"&amp;"й прокладки, шин заземления, клапана выравнивания давления, комплектация двухкомпонентным компаундом.")</f>
        <v>Клеммная коробка 195х80х75, с датчиком вскрытия корпуса IP66, 15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2" s="9">
        <f ca="1">IFERROR(__xludf.DUMMYFUNCTION("""COMPUTED_VALUE"""),2600)</f>
        <v>2600</v>
      </c>
      <c r="D12" s="6"/>
      <c r="E12" s="8"/>
    </row>
    <row r="13" spans="1:5" ht="15.75" customHeight="1">
      <c r="A13" s="5" t="str">
        <f ca="1">IFERROR(__xludf.DUMMYFUNCTION("""COMPUTED_VALUE"""),"КСП-15 АЯКС IP66 (10мм2)")</f>
        <v>КСП-15 АЯКС IP66 (10мм2)</v>
      </c>
      <c r="B13" s="6" t="str">
        <f ca="1">IFERROR(__xludf.DUMMYFUNCTION("""COMPUTED_VALUE"""),"Клеммная коробка 195х80х75, IP66, 15 винтовых клемм (до 10мм2), 8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195х80х75, IP66, 15 винтовых клемм (до 10мм2), 8 кабельных ввода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3" s="9">
        <f ca="1">IFERROR(__xludf.DUMMYFUNCTION("""COMPUTED_VALUE"""),2540)</f>
        <v>2540</v>
      </c>
      <c r="D13" s="6"/>
      <c r="E13" s="8"/>
    </row>
    <row r="14" spans="1:5" ht="15.75" customHeight="1">
      <c r="A14" s="5" t="str">
        <f ca="1">IFERROR(__xludf.DUMMYFUNCTION("""COMPUTED_VALUE"""),"КСП-20 АЯКС IP66")</f>
        <v>КСП-20 АЯКС IP66</v>
      </c>
      <c r="B14" s="6" t="str">
        <f ca="1">IFERROR(__xludf.DUMMYFUNCTION("""COMPUTED_VALUE"""),"Клеммная коробка 302х148х93, IP66,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заземления"&amp;", клапана выравнивания давления, комплектация двухкомпонентным компаундом")</f>
        <v>Клеммная коробка 302х148х93, IP66,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4" s="9">
        <f ca="1">IFERROR(__xludf.DUMMYFUNCTION("""COMPUTED_VALUE"""),4160)</f>
        <v>4160</v>
      </c>
      <c r="D14" s="6"/>
      <c r="E14" s="8"/>
    </row>
    <row r="15" spans="1:5" ht="15.75" customHeight="1">
      <c r="A15" s="5" t="str">
        <f ca="1">IFERROR(__xludf.DUMMYFUNCTION("""COMPUTED_VALUE"""),"КСП-20 АЯКС IP66 Wago")</f>
        <v>КСП-20 АЯКС IP66 Wago</v>
      </c>
      <c r="B15" s="6" t="str">
        <f ca="1">IFERROR(__xludf.DUMMYFUNCTION("""COMPUTED_VALUE"""),"Клеммная коробка 302х148х93, IP66, 
 20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20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5" s="9">
        <f ca="1">IFERROR(__xludf.DUMMYFUNCTION("""COMPUTED_VALUE"""),4960)</f>
        <v>4960</v>
      </c>
      <c r="D15" s="6"/>
      <c r="E15" s="8"/>
    </row>
    <row r="16" spans="1:5" ht="15.75" customHeight="1">
      <c r="A16" s="5" t="str">
        <f ca="1">IFERROR(__xludf.DUMMYFUNCTION("""COMPUTED_VALUE"""),"КСП-20 АЯКС IP66 (10мм2)")</f>
        <v>КСП-20 АЯКС IP66 (10мм2)</v>
      </c>
      <c r="B16" s="6" t="str">
        <f ca="1">IFERROR(__xludf.DUMMYFUNCTION("""COMPUTED_VALUE"""),"Клеммная коробка 302х148х93, IP66, 20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20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6" s="9">
        <f ca="1">IFERROR(__xludf.DUMMYFUNCTION("""COMPUTED_VALUE"""),4820)</f>
        <v>4820</v>
      </c>
      <c r="D16" s="6"/>
      <c r="E16" s="8"/>
    </row>
    <row r="17" spans="1:5" ht="15.75" customHeight="1">
      <c r="A17" s="5" t="str">
        <f ca="1">IFERROR(__xludf.DUMMYFUNCTION("""COMPUTED_VALUE"""),"КСП-Т-20 АЯКС IP66")</f>
        <v>КСП-Т-20 АЯКС IP66</v>
      </c>
      <c r="B17" s="6" t="str">
        <f ca="1">IFERROR(__xludf.DUMMYFUNCTION("""COMPUTED_VALUE"""),"Клеммная коробка 302х148х93, IP66, датчик вскрытия корпуса,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"&amp;"прокладки, шин заземления, клапана выравнивания давления, комплектация двухкомпонентным компаундом")</f>
        <v>Клеммная коробка 302х148х93, IP66, датчик вскрытия корпуса, 20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7" s="9">
        <f ca="1">IFERROR(__xludf.DUMMYFUNCTION("""COMPUTED_VALUE"""),4560)</f>
        <v>4560</v>
      </c>
      <c r="D17" s="6"/>
      <c r="E17" s="8"/>
    </row>
    <row r="18" spans="1:5" ht="15.75" customHeight="1">
      <c r="A18" s="5" t="str">
        <f ca="1">IFERROR(__xludf.DUMMYFUNCTION("""COMPUTED_VALUE"""),"КСП-25 АЯКС IP66")</f>
        <v>КСП-25 АЯКС IP66</v>
      </c>
      <c r="B18" s="6" t="str">
        <f ca="1">IFERROR(__xludf.DUMMYFUNCTION("""COMPUTED_VALUE"""),"Клеммная коробка 302х148х93, IP66,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заземлен"&amp;"ия, клапана выравнивания давления, комплектация двухкомпонентным компаундом")</f>
        <v>Клеммная коробка 302х148х93, IP66,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8" s="9">
        <f ca="1">IFERROR(__xludf.DUMMYFUNCTION("""COMPUTED_VALUE"""),4360)</f>
        <v>4360</v>
      </c>
      <c r="D18" s="6"/>
      <c r="E18" s="8"/>
    </row>
    <row r="19" spans="1:5" ht="15.75" customHeight="1">
      <c r="A19" s="5" t="str">
        <f ca="1">IFERROR(__xludf.DUMMYFUNCTION("""COMPUTED_VALUE"""),"КСП-25 АЯКС IP66 Wago")</f>
        <v>КСП-25 АЯКС IP66 Wago</v>
      </c>
      <c r="B19" s="6" t="str">
        <f ca="1">IFERROR(__xludf.DUMMYFUNCTION("""COMPUTED_VALUE"""),"Клеммная коробка 302х148х93, IP66, 
 25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25 клемм типа Wago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19" s="9">
        <f ca="1">IFERROR(__xludf.DUMMYFUNCTION("""COMPUTED_VALUE"""),5160)</f>
        <v>5160</v>
      </c>
      <c r="D19" s="6"/>
      <c r="E19" s="8"/>
    </row>
    <row r="20" spans="1:5" ht="15.75" customHeight="1">
      <c r="A20" s="5" t="str">
        <f ca="1">IFERROR(__xludf.DUMMYFUNCTION("""COMPUTED_VALUE"""),"КСП-25 АЯКС IP66 (10мм2)")</f>
        <v>КСП-25 АЯКС IP66 (10мм2)</v>
      </c>
      <c r="B20" s="6" t="str">
        <f ca="1">IFERROR(__xludf.DUMMYFUNCTION("""COMPUTED_VALUE"""),"Клеммная коробка 302х148х93, IP66, 25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заземле"&amp;"ния, клапана выравнивания давления, комплектация двухкомпонентным компаундом")</f>
        <v>Клеммная коробка 302х148х93, IP66, 25 
 винтовых клемм (до 10мм2),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20" s="9">
        <f ca="1">IFERROR(__xludf.DUMMYFUNCTION("""COMPUTED_VALUE"""),5160)</f>
        <v>5160</v>
      </c>
      <c r="D20" s="6"/>
      <c r="E20" s="8"/>
    </row>
    <row r="21" spans="1:5" ht="15.75" customHeight="1">
      <c r="A21" s="5" t="str">
        <f ca="1">IFERROR(__xludf.DUMMYFUNCTION("""COMPUTED_VALUE"""),"КСП-Т-25 АЯКС IP66")</f>
        <v>КСП-Т-25 АЯКС IP66</v>
      </c>
      <c r="B21" s="6" t="str">
        <f ca="1">IFERROR(__xludf.DUMMYFUNCTION("""COMPUTED_VALUE"""),"Клеммная коробка 302х148х93, IP66, датчик 
 вскрытия корпуса,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кабельно"&amp;"й прокладки, шин заземления, клапана выравнивания давления, комплектация двухкомпонентным компаундом")</f>
        <v>Клеммная коробка 302х148х93, IP66, датчик 
 вскрытия корпуса, 25 винтовых клемм (до 4мм2), 8 кабельных вводов ПКВ20х1,5 (под кабель д. 6 - 12 мм). По требованию Заказчика возможна установка кабельных вводов для подключения всех существующих видов кабельной прокладки, шин заземления, клапана выравнивания давления, комплектация двухкомпонентным компаундом</v>
      </c>
      <c r="C21" s="9">
        <f ca="1">IFERROR(__xludf.DUMMYFUNCTION("""COMPUTED_VALUE"""),4960)</f>
        <v>4960</v>
      </c>
      <c r="D21" s="6"/>
      <c r="E21" s="8"/>
    </row>
    <row r="22" spans="1:5" ht="15.75" customHeight="1">
      <c r="A22" s="5" t="str">
        <f ca="1">IFERROR(__xludf.DUMMYFUNCTION("""COMPUTED_VALUE"""),"Контроллер Z-R5 АЯКС, IP66/IP67 ")</f>
        <v xml:space="preserve">Контроллер Z-R5 АЯКС, IP66/IP67 </v>
      </c>
      <c r="B22" s="6" t="str">
        <f ca="1">IFERROR(__xludf.DUMMYFUNCTION("""COMPUTED_VALUE"""),"Применяется в качестве автономного контроллера с силовым реле на выходе для управления внешними устройствами. Стандартный базовый комплект - 2 ввода МВ20х1,5 (4-10мм) для открытой прокладки кабеля")</f>
        <v>Применяется в качестве автономного контроллера с силовым реле на выходе для управления внешними устройствами. Стандартный базовый комплект - 2 ввода МВ20х1,5 (4-10мм) для открытой прокладки кабеля</v>
      </c>
      <c r="C22" s="9">
        <f ca="1">IFERROR(__xludf.DUMMYFUNCTION("""COMPUTED_VALUE"""),6800)</f>
        <v>6800</v>
      </c>
      <c r="D22" s="6"/>
      <c r="E22" s="8"/>
    </row>
    <row r="23" spans="1:5" ht="15.75" customHeight="1">
      <c r="A23" s="5" t="str">
        <f ca="1">IFERROR(__xludf.DUMMYFUNCTION("""COMPUTED_VALUE"""),"Контроллер-Ех взрывозащищенный Z-R5 АЯКС (1Ex db IIC T6 Db Х / Ex tb IIIC T85°C Db X)")</f>
        <v>Контроллер-Ех взрывозащищенный Z-R5 АЯКС (1Ex db IIC T6 Db Х / Ex tb IIIC T85°C Db X)</v>
      </c>
      <c r="B23" s="6" t="str">
        <f ca="1">IFERROR(__xludf.DUMMYFUNCTION("""COMPUTED_VALUE"""),"Предназначен для применения в взрывозащищенной СКУД, в качестве автономного контроллера с силовым реле на выходе для управления внешними устройствами. Стандартный базовый корпус: два проходных отверстия М20х1,5, две Ех-заглушки М20х1,5. По требованию зака"&amp;"зчика может изготавливаться: — с количество отверстий 1-3 с резьбой М16х1,5 / М20х1,5/ М25х1,5. - с взрывозащищенными кабельными вводами  для бронированного кабеля (В), для открытой прокладки небронированного кабеля (К),  для прокладки кабеля в металлорук"&amp;"аве (КМ), для прокладки кабеля в трубе (Т). 
Также является компонентом взрывозащищенной СКУД АЯКС-Ех ")</f>
        <v xml:space="preserve">Предназначен для применения в взрывозащищенной СКУД, в качестве автономного контроллера с силовым реле на выходе для управления внешними устройствами. Стандартный базовый корпус: два проходных отверстия М20х1,5, две Ех-заглушки М20х1,5. По требованию заказчика может изготавливаться: — с количество отверстий 1-3 с резьбой М16х1,5 / М20х1,5/ М25х1,5. - с взрывозащищенными кабельными вводами  для бронированного кабеля (В), для открытой прокладки небронированного кабеля (К),  для прокладки кабеля в металлорукаве (КМ), для прокладки кабеля в трубе (Т). 
Также является компонентом взрывозащищенной СКУД АЯКС-Ех </v>
      </c>
      <c r="C23" s="9">
        <f ca="1">IFERROR(__xludf.DUMMYFUNCTION("""COMPUTED_VALUE"""),37200)</f>
        <v>37200</v>
      </c>
      <c r="D23" s="6"/>
      <c r="E23" s="8"/>
    </row>
    <row r="24" spans="1:5" ht="15.75" customHeight="1">
      <c r="A24" s="5" t="str">
        <f ca="1">IFERROR(__xludf.DUMMYFUNCTION("""COMPUTED_VALUE"""),"Считыватель-Ех RD 26-REH-К АЯКС")</f>
        <v>Считыватель-Ех RD 26-REH-К АЯКС</v>
      </c>
      <c r="B24"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открытой прокладки кабеля")</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открытой прокладки кабеля</v>
      </c>
      <c r="C24" s="9">
        <f ca="1">IFERROR(__xludf.DUMMYFUNCTION("""COMPUTED_VALUE"""),23620)</f>
        <v>23620</v>
      </c>
      <c r="D24" s="6"/>
      <c r="E24" s="8"/>
    </row>
    <row r="25" spans="1:5" ht="15.75" customHeight="1">
      <c r="A25" s="5" t="str">
        <f ca="1">IFERROR(__xludf.DUMMYFUNCTION("""COMPUTED_VALUE"""),"Считыватель-Ех RD 26-REH-КМ АЯКС")</f>
        <v>Считыватель-Ех RD 26-REH-КМ АЯКС</v>
      </c>
      <c r="B25"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кабеля в металлорукаве (диаметр рукава уточнить).")</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кабеля в металлорукаве (диаметр рукава уточнить).</v>
      </c>
      <c r="C25" s="9">
        <f ca="1">IFERROR(__xludf.DUMMYFUNCTION("""COMPUTED_VALUE"""),23620)</f>
        <v>23620</v>
      </c>
      <c r="D25" s="6"/>
      <c r="E25" s="8"/>
    </row>
    <row r="26" spans="1:5" ht="15.75" customHeight="1">
      <c r="A26" s="5" t="str">
        <f ca="1">IFERROR(__xludf.DUMMYFUNCTION("""COMPUTED_VALUE"""),"Считыватель-Ех RD 26-REH-Т АЯКС")</f>
        <v>Считыватель-Ех RD 26-REH-Т АЯКС</v>
      </c>
      <c r="B26"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кабеля в трубе")</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кабеля в трубе</v>
      </c>
      <c r="C26" s="9">
        <f ca="1">IFERROR(__xludf.DUMMYFUNCTION("""COMPUTED_VALUE"""),23620)</f>
        <v>23620</v>
      </c>
      <c r="D26" s="6"/>
      <c r="E26" s="8"/>
    </row>
    <row r="27" spans="1:5" ht="15.75" customHeight="1">
      <c r="A27" s="5" t="str">
        <f ca="1">IFERROR(__xludf.DUMMYFUNCTION("""COMPUTED_VALUE"""),"Считыватель-Ех RD 26-REH-В АЯКС")</f>
        <v>Считыватель-Ех RD 26-REH-В АЯКС</v>
      </c>
      <c r="B27" s="6" t="str">
        <f ca="1">IFERROR(__xludf.DUMMYFUNCTION("""COMPUTED_VALUE"""),"Взрывозащищенный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в"&amp;"вод для прокладки бронекабеля")</f>
        <v>Взрывозащищенный бесконтактный идентификатор формата EM-Marine, HID ProxCard II, расстояние считывания до 5 см, интерфейс Wiegand 26, Dallas Touch Memory, 8...18 В, 50 мА, IP66/67, -40...+60 ⁰С, корпус из нержавеющей стали, кабель 1м (штатно), кабельный ввод для прокладки бронекабеля</v>
      </c>
      <c r="C27" s="9">
        <f ca="1">IFERROR(__xludf.DUMMYFUNCTION("""COMPUTED_VALUE"""),23620)</f>
        <v>23620</v>
      </c>
      <c r="D27" s="6"/>
      <c r="E27" s="8"/>
    </row>
    <row r="28" spans="1:5" ht="15.75" customHeight="1">
      <c r="A28" s="5" t="str">
        <f ca="1">IFERROR(__xludf.DUMMYFUNCTION("""COMPUTED_VALUE"""),"Считыватель-Ех RD 26-RMF-К АЯКС")</f>
        <v>Считыватель-Ех RD 26-RMF-К АЯКС</v>
      </c>
      <c r="B28"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"&amp;"открытой прокладки кабеля")</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открытой прокладки кабеля</v>
      </c>
      <c r="C28" s="9">
        <f ca="1">IFERROR(__xludf.DUMMYFUNCTION("""COMPUTED_VALUE"""),23620)</f>
        <v>23620</v>
      </c>
      <c r="D28" s="6"/>
      <c r="E28" s="8"/>
    </row>
    <row r="29" spans="1:5" ht="15.75" customHeight="1">
      <c r="A29" s="5" t="str">
        <f ca="1">IFERROR(__xludf.DUMMYFUNCTION("""COMPUTED_VALUE"""),"Считыватель-Ех RD 26-RMF-КМ  (КМ4, КМ6, КМ8, КМ10) АЯКС")</f>
        <v>Считыватель-Ех RD 26-RMF-КМ  (КМ4, КМ6, КМ8, КМ10) АЯКС</v>
      </c>
      <c r="B29"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"&amp;"прокладки кабеля в металлорукаве (диаметр рукава уточнить)")</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прокладки кабеля в металлорукаве (диаметр рукава уточнить)</v>
      </c>
      <c r="C29" s="9">
        <f ca="1">IFERROR(__xludf.DUMMYFUNCTION("""COMPUTED_VALUE"""),23620)</f>
        <v>23620</v>
      </c>
      <c r="D29" s="6"/>
      <c r="E29" s="8"/>
    </row>
    <row r="30" spans="1:5" ht="15.75" customHeight="1">
      <c r="A30" s="5" t="str">
        <f ca="1">IFERROR(__xludf.DUMMYFUNCTION("""COMPUTED_VALUE"""),"Считыватель-Ех RD 26-RMF-Т АЯКС")</f>
        <v>Считыватель-Ех RD 26-RMF-Т АЯКС</v>
      </c>
      <c r="B30" s="6" t="str">
        <f ca="1">IFERROR(__xludf.DUMMYFUNCTION("""COMPUTED_VALUE"""),"Взрывозащищенный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"&amp;"прокладки кабеля в трубе")</f>
        <v>Взрывозащищенный бесконтактный идентификатор формата Mifare, расстояние считывания до 5 см, интерфейс Wiegand 26/34/42/50/58, Dallas Touch Memory, 8...18 В, 50 мА, IP66/67, -40...+60 ⁰С, корпус из нержавеющей стали, кабель 1м (штатно), кабельный ввод для прокладки кабеля в трубе</v>
      </c>
      <c r="C30" s="9">
        <f ca="1">IFERROR(__xludf.DUMMYFUNCTION("""COMPUTED_VALUE"""),23620)</f>
        <v>23620</v>
      </c>
      <c r="D30" s="6"/>
      <c r="E30" s="8"/>
    </row>
    <row r="31" spans="1:5" ht="15.75" customHeight="1">
      <c r="A31" s="5" t="str">
        <f ca="1">IFERROR(__xludf.DUMMYFUNCTION("""COMPUTED_VALUE"""),"Считыватель-Ех RD 26-RMF-В АЯКС")</f>
        <v>Считыватель-Ех RD 26-RMF-В АЯКС</v>
      </c>
      <c r="B31" s="6" t="str">
        <f ca="1">IFERROR(__xludf.DUMMYFUNCTION("""COMPUTED_VALUE"""),"Взрывозащищенный бесконтактный идентификатор формата Mifare, расстояние считывания до 5 см, интерфейс Wiegand 26/34/42/50/58, Dallas Touch Memory , 8...18 В, 50 мА, IP66/67, -40...+60 ⁰С, корпус из нержавеющей стали, кабель 1м (штатно), кабельный ввод для"&amp;" прокладки бронекабеля")</f>
        <v>Взрывозащищенный бесконтактный идентификатор формата Mifare, расстояние считывания до 5 см, интерфейс Wiegand 26/34/42/50/58, Dallas Touch Memory , 8...18 В, 50 мА, IP66/67, -40...+60 ⁰С, корпус из нержавеющей стали, кабель 1м (штатно), кабельный ввод для прокладки бронекабеля</v>
      </c>
      <c r="C31" s="9">
        <f ca="1">IFERROR(__xludf.DUMMYFUNCTION("""COMPUTED_VALUE"""),23620)</f>
        <v>23620</v>
      </c>
      <c r="D31" s="6"/>
      <c r="E31" s="8"/>
    </row>
    <row r="32" spans="1:5" ht="15.75" customHeight="1">
      <c r="A32" s="5" t="str">
        <f ca="1">IFERROR(__xludf.DUMMYFUNCTION("""COMPUTED_VALUE"""),"Карта proximity стандартная ST-PC010EM (Smartec)")</f>
        <v>Карта proximity стандартная ST-PC010EM (Smartec)</v>
      </c>
      <c r="B32" s="6" t="str">
        <f ca="1">IFERROR(__xludf.DUMMYFUNCTION("""COMPUTED_VALUE"""),"Предназначена для использования в качестве ключа доступа в системах контроля и управления доступом совместно со считывателями стандарта EM-Marin. С прорезью стандартная, с номером, 86х54х1.6мм.")</f>
        <v>Предназначена для использования в качестве ключа доступа в системах контроля и управления доступом совместно со считывателями стандарта EM-Marin. С прорезью стандартная, с номером, 86х54х1.6мм.</v>
      </c>
      <c r="C32" s="9">
        <f ca="1">IFERROR(__xludf.DUMMYFUNCTION("""COMPUTED_VALUE"""),18)</f>
        <v>18</v>
      </c>
      <c r="D32" s="6"/>
      <c r="E32" s="8"/>
    </row>
    <row r="33" spans="1:5" ht="15.75" customHeight="1">
      <c r="A33" s="5" t="str">
        <f ca="1">IFERROR(__xludf.DUMMYFUNCTION("""COMPUTED_VALUE"""),"Карта Mifare стандартная ST-PC010MF (Smartec)")</f>
        <v>Карта Mifare стандартная ST-PC010MF (Smartec)</v>
      </c>
      <c r="B33" s="6" t="str">
        <f ca="1">IFERROR(__xludf.DUMMYFUNCTION("""COMPUTED_VALUE"""),"Предназначена для использования в качестве ключа доступа в системах контроля и управления доступом совместно со считывателями стандарта Mifare. С прорезью стандартная, с номером, 86х54х1.6мм.")</f>
        <v>Предназначена для использования в качестве ключа доступа в системах контроля и управления доступом совместно со считывателями стандарта Mifare. С прорезью стандартная, с номером, 86х54х1.6мм.</v>
      </c>
      <c r="C33" s="9">
        <f ca="1">IFERROR(__xludf.DUMMYFUNCTION("""COMPUTED_VALUE"""),20)</f>
        <v>20</v>
      </c>
      <c r="D33" s="6"/>
      <c r="E33" s="8"/>
    </row>
    <row r="34" spans="1:5" ht="15.75" customHeight="1">
      <c r="A34" s="5" t="str">
        <f ca="1">IFERROR(__xludf.DUMMYFUNCTION("""COMPUTED_VALUE"""),"Брелок ST-PT011EM-GR (Smartec)")</f>
        <v>Брелок ST-PT011EM-GR (Smartec)</v>
      </c>
      <c r="B34" s="6" t="str">
        <f ca="1">IFERROR(__xludf.DUMMYFUNCTION("""COMPUTED_VALUE"""),"Брелок EmMarin, серый, 40х32х4 мм")</f>
        <v>Брелок EmMarin, серый, 40х32х4 мм</v>
      </c>
      <c r="C34" s="9">
        <f ca="1">IFERROR(__xludf.DUMMYFUNCTION("""COMPUTED_VALUE"""),26)</f>
        <v>26</v>
      </c>
      <c r="D34" s="6"/>
      <c r="E34" s="8"/>
    </row>
    <row r="35" spans="1:5" ht="15.75" customHeight="1">
      <c r="A35" s="5" t="str">
        <f ca="1">IFERROR(__xludf.DUMMYFUNCTION("""COMPUTED_VALUE"""),"Брелок ST-PT011MF-GR (Smartec)")</f>
        <v>Брелок ST-PT011MF-GR (Smartec)</v>
      </c>
      <c r="B35" s="6" t="str">
        <f ca="1">IFERROR(__xludf.DUMMYFUNCTION("""COMPUTED_VALUE"""),"Брелок Mifare, серый, 40х32х4 мм")</f>
        <v>Брелок Mifare, серый, 40х32х4 мм</v>
      </c>
      <c r="C35" s="9">
        <f ca="1">IFERROR(__xludf.DUMMYFUNCTION("""COMPUTED_VALUE"""),28)</f>
        <v>28</v>
      </c>
      <c r="D35" s="6"/>
      <c r="E35" s="8"/>
    </row>
    <row r="36" spans="1:5" ht="15.75" customHeight="1">
      <c r="A36" s="5" t="str">
        <f ca="1">IFERROR(__xludf.DUMMYFUNCTION("""COMPUTED_VALUE"""),"Коробка распределительная 195х80х75 АЯКС-КР (лайт)")</f>
        <v>Коробка распределительная 195х80х75 АЯКС-КР (лайт)</v>
      </c>
      <c r="B36" s="6" t="str">
        <f ca="1">IFERROR(__xludf.DUMMYFUNCTION("""COMPUTED_VALUE"""),"Коммутационная коробка, без датчика вскрытия, без шины заземления, без клапана выравнивания давления. Два торцевых пластиковых кабельных ввода М20х1,5, винтовые клеммы 4 мм.кв, 12 цепей. Выбор иного количества, диаметра и материала вводов, а также количес"&amp;"тво и вида клеммников, согласно форме заказа, доступно на сайте производителя.")</f>
        <v>Коммутационная коробка, без датчика вскрытия, без шины заземления, без клапана выравнивания давления. Два торцевых пластиковых кабельных ввода М20х1,5, винтовые клеммы 4 мм.кв, 12 цепей. Выбор иного количества, диаметра и материала вводов, а также количество и вида клеммников, согласно форме заказа, доступно на сайте производителя.</v>
      </c>
      <c r="C36" s="9">
        <f ca="1">IFERROR(__xludf.DUMMYFUNCTION("""COMPUTED_VALUE"""),1600)</f>
        <v>1600</v>
      </c>
      <c r="D36" s="6"/>
      <c r="E36" s="8"/>
    </row>
    <row r="37" spans="1:5" ht="15.75" customHeight="1">
      <c r="A37" s="5" t="str">
        <f ca="1">IFERROR(__xludf.DUMMYFUNCTION("""COMPUTED_VALUE"""),"Коробка распределительная 195х80х75 АЯКС-КР (база)")</f>
        <v>Коробка распределительная 195х80х75 АЯКС-КР (база)</v>
      </c>
      <c r="B37" s="6" t="str">
        <f ca="1">IFERROR(__xludf.DUMMYFUNCTION("""COMPUTED_VALUE"""),"Коммутационная коробка, датчик вскрытия корпуса, четыре (1х4) пластиковых кабельных ввода М20х1,5 , винтовые клеммы 4 мм.кв, 15 цепей. Выбор иного количества, диаметра и материала вводов, а также количества и вида клеммников, доступно на сайте производите"&amp;"ля, согласно форме заказа.")</f>
        <v>Коммутационная коробка, датчик вскрытия корпуса, четыре (1х4) пластиковых кабельных ввода М20х1,5 , винтовые клеммы 4 мм.кв, 15 цепей. Выбор иного количества, диаметра и материала вводов, а также количества и вида клеммников, доступно на сайте производителя, согласно форме заказа.</v>
      </c>
      <c r="C37" s="9">
        <f ca="1">IFERROR(__xludf.DUMMYFUNCTION("""COMPUTED_VALUE"""),2600)</f>
        <v>2600</v>
      </c>
      <c r="D37" s="6"/>
      <c r="E37" s="8"/>
    </row>
    <row r="38" spans="1:5" ht="114.75">
      <c r="A38" s="5" t="str">
        <f ca="1">IFERROR(__xludf.DUMMYFUNCTION("""COMPUTED_VALUE"""),"Коробка распределительная 195х80х75 АЯКС-КР (макс)")</f>
        <v>Коробка распределительная 195х80х75 АЯКС-КР (макс)</v>
      </c>
      <c r="B38" s="6" t="str">
        <f ca="1">IFERROR(__xludf.DUMMYFUNCTION("""COMPUTED_VALUE"""),"Коммутационная коробка, с датчиком вскрытия, шина заземления, клапан выравнивания давления. 16 кабельных ввода (6х2 и 2х2) М12х1,5, винтовые клеммы 4 мм.кв, 20 цепей. Выбор иного количества, диаметра и материала вводов, а также количества и вида клеммнико"&amp;"в, доступно на сайте производителя, согласно форме заказа")</f>
        <v>Коммутационная коробка, с датчиком вскрытия, шина заземления, клапан выравнивания давления. 16 кабельных ввода (6х2 и 2х2) М12х1,5, винтовые клеммы 4 мм.кв, 20 цепей. Выбор иного количества, диаметра и материала вводов, а также количества и вида клеммников, доступно на сайте производителя, согласно форме заказа</v>
      </c>
      <c r="C38" s="9">
        <f ca="1">IFERROR(__xludf.DUMMYFUNCTION("""COMPUTED_VALUE"""),3600)</f>
        <v>3600</v>
      </c>
      <c r="D38" s="6"/>
      <c r="E38" s="8"/>
    </row>
    <row r="39" spans="1:5" ht="25.5">
      <c r="A39" s="5" t="str">
        <f ca="1">IFERROR(__xludf.DUMMYFUNCTION("""COMPUTED_VALUE"""),"Бутылконоситель (корзина) для бутыломоечных машин типа TERMA 28 NATE")</f>
        <v>Бутылконоситель (корзина) для бутыломоечных машин типа TERMA 28 NATE</v>
      </c>
      <c r="B39" s="6"/>
      <c r="C39" s="9">
        <f ca="1">IFERROR(__xludf.DUMMYFUNCTION("""COMPUTED_VALUE"""),480)</f>
        <v>480</v>
      </c>
      <c r="D39" s="6"/>
      <c r="E39" s="8"/>
    </row>
    <row r="40" spans="1:5" ht="38.25">
      <c r="A40" s="5" t="str">
        <f ca="1">IFERROR(__xludf.DUMMYFUNCTION("""COMPUTED_VALUE"""),"Геркон переключающий АЯКС-14104 С (10-15 АТ) поштучно")</f>
        <v>Геркон переключающий АЯКС-14104 С (10-15 АТ) поштучно</v>
      </c>
      <c r="B40" s="6" t="str">
        <f ca="1">IFERROR(__xludf.DUMMYFUNCTION("""COMPUTED_VALUE"""),"Тип контакта         переключающий (C)
МДС срабатывания, А         10-15
МДС отпускания, А, не менее         5")</f>
        <v>Тип контакта         переключающий (C)
МДС срабатывания, А         10-15
МДС отпускания, А, не менее         5</v>
      </c>
      <c r="C40" s="9">
        <f ca="1">IFERROR(__xludf.DUMMYFUNCTION("""COMPUTED_VALUE"""),144)</f>
        <v>144</v>
      </c>
      <c r="D40" s="6"/>
      <c r="E40" s="8"/>
    </row>
    <row r="41" spans="1:5" ht="51">
      <c r="A41" s="5" t="str">
        <f ca="1">IFERROR(__xludf.DUMMYFUNCTION("""COMPUTED_VALUE"""),"Геркон переключающий АЯКС-14104 С (10-15 АТ) упаковкой")</f>
        <v>Геркон переключающий АЯКС-14104 С (10-15 АТ) упаковкой</v>
      </c>
      <c r="B41" s="6" t="str">
        <f ca="1">IFERROR(__xludf.DUMMYFUNCTION("""COMPUTED_VALUE"""),"Норма упаковки, шт         1000
Тип контакта         переключающий (C)
МДС срабатывания, А         10-15
МДС отпускания, А, не менее         5")</f>
        <v>Норма упаковки, шт         1000
Тип контакта         переключающий (C)
МДС срабатывания, А         10-15
МДС отпускания, А, не менее         5</v>
      </c>
      <c r="C41" s="9">
        <f ca="1">IFERROR(__xludf.DUMMYFUNCTION("""COMPUTED_VALUE"""),120)</f>
        <v>120</v>
      </c>
      <c r="D41" s="6"/>
      <c r="E41" s="8"/>
    </row>
    <row r="42" spans="1:5" ht="204">
      <c r="A42" s="5" t="str">
        <f ca="1">IFERROR(__xludf.DUMMYFUNCTION("""COMPUTED_VALUE"""),"ИПР 535-Ехd-А «МОРОЗ» АТФЕ.425211.001 ТУ")</f>
        <v>ИПР 535-Ехd-А «МОРОЗ» АТФЕ.425211.001 ТУ</v>
      </c>
      <c r="B42" s="6" t="str">
        <f ca="1">IFERROR(__xludf.DUMMYFUNCTION("""COMPUTED_VALUE"""),"Извещатель приводится в действие удалением чеки-застежки,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сечен"&amp;"ия – К,
 - кабель с прокладкой в трубе - Т, 
 - бронированный кабель - В,
 - кабель в металлорукаве - КМ.
 Извещатель выпускается с одним (0), двумя (угловой 2У и проходной 2П) и тремя (Т) отверстиями под кабельные вводы. Исполнение уточняется при заказе "&amp;"(по умолчанию 2П).")</f>
        <v>Извещатель приводится в действие удалением чеки-застежки,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Извещатель выпускается с одним (0), двумя (угловой 2У и проходной 2П) и тремя (Т) отверстиями под кабельные вводы. Исполнение уточняется при заказе (по умолчанию 2П).</v>
      </c>
      <c r="C42" s="9">
        <f ca="1">IFERROR(__xludf.DUMMYFUNCTION("""COMPUTED_VALUE"""),7535)</f>
        <v>7535</v>
      </c>
      <c r="D42" s="6"/>
      <c r="E42" s="8"/>
    </row>
    <row r="43" spans="1:5" ht="216.75">
      <c r="A43" s="5" t="str">
        <f ca="1">IFERROR(__xludf.DUMMYFUNCTION("""COMPUTED_VALUE"""),"ИПР 535-Ехd-В «МОРОЗ» АТФЕ.425211.001 ТУ")</f>
        <v>ИПР 535-Ехd-В «МОРОЗ» АТФЕ.425211.001 ТУ</v>
      </c>
      <c r="B43" s="6" t="str">
        <f ca="1">IFERROR(__xludf.DUMMYFUNCTION("""COMPUTED_VALUE"""),"Извещатель приводится в действие удалением чеки-застежки после смещения защитного элемента ,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Извещатель выпускается с одним, двумя (угловой 2У и проходной 2П) и тремя отверстиями под кабельные вводы. Исполне"&amp;"ние уточняется при заказе (по умолчанию 2П).")</f>
        <v>Извещатель приводится в действие удалением чеки-застежки после смещения защитного элемента , корпус из алюминиевого сплава, IP 66. Цвет красный.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Извещатель выпускается с одним, двумя (угловой 2У и проходной 2П) и тремя отверстиями под кабельные вводы. Исполнение уточняется при заказе (по умолчанию 2П).</v>
      </c>
      <c r="C43" s="9">
        <f ca="1">IFERROR(__xludf.DUMMYFUNCTION("""COMPUTED_VALUE"""),7810)</f>
        <v>7810</v>
      </c>
      <c r="D43" s="6"/>
      <c r="E43" s="8"/>
    </row>
    <row r="44" spans="1:5" ht="153">
      <c r="A44" s="5" t="str">
        <f ca="1">IFERROR(__xludf.DUMMYFUNCTION("""COMPUTED_VALUE"""),"ИПР 535-Ехd-А «МОРОЗ» + МКВМ М20 + МКВМ М20 АТФЕ.425211.001 ТУ В комплекте с двумя вводами из нержавеющей стали МКВМ М20")</f>
        <v>ИПР 535-Ехd-А «МОРОЗ» + МКВМ М20 + МКВМ М20 АТФЕ.425211.001 ТУ В комплекте с двумя вводами из нержавеющей стали МКВМ М20</v>
      </c>
      <c r="B44"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М20. Тип штуцера - выбрать. (кабели круглого сечения – К, кабель с прокладкой в трубе - Т,"&amp;" - бронированный кабель - В, кабель в металлорукаве - КМ). Расположение вводов по умолчанию 2П ""Проходное"",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М20. Тип штуцера - выбрать. (кабели круглого сечения – К, кабель с прокладкой в трубе - Т, - бронированный кабель - В, кабель в металлорукаве - КМ). Расположение вводов по умолчанию 2П "Проходное", 2У "Угловое" исполнение уточняется при заказе</v>
      </c>
      <c r="C44" s="9">
        <f ca="1">IFERROR(__xludf.DUMMYFUNCTION("""COMPUTED_VALUE"""),15268)</f>
        <v>15268</v>
      </c>
      <c r="D44" s="6"/>
      <c r="E44" s="8"/>
    </row>
    <row r="45" spans="1:5" ht="153">
      <c r="A45" s="5" t="str">
        <f ca="1">IFERROR(__xludf.DUMMYFUNCTION("""COMPUTED_VALUE"""),"ИПР 535-Ехd-А «МОРОЗ» + МКВМ М25 + МКВМ М25 АТФЕ.425211.001 ТУ В комплекте с двумя вводами из нержавеющей стали МКВМ М25")</f>
        <v>ИПР 535-Ехd-А «МОРОЗ» + МКВМ М25 + МКВМ М25 АТФЕ.425211.001 ТУ В комплекте с двумя вводами из нержавеющей стали МКВМ М25</v>
      </c>
      <c r="B45"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М25. Тип штуцера - выбрать. (кабели круглого сечения – К, кабель с прокладкой в трубе - Т,"&amp;" - бронированный кабель - В, кабель в металлорукаве - КМ)
 Расположение вводов по умолчанию 2П ""Проходное"",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нержавеющей стали МКВМ М25. Тип штуцера - выбрать. (кабели круглого сечения – К, кабель с прокладкой в трубе - Т, - бронированный кабель - В, кабель в металлорукаве - КМ)
 Расположение вводов по умолчанию 2П "Проходное", 2У "Угловое" исполнение уточняется при заказе.</v>
      </c>
      <c r="C45" s="9">
        <f ca="1">IFERROR(__xludf.DUMMYFUNCTION("""COMPUTED_VALUE"""),18568)</f>
        <v>18568</v>
      </c>
      <c r="D45" s="6"/>
      <c r="E45" s="8"/>
    </row>
    <row r="46" spans="1:5" ht="114.75">
      <c r="A46" s="5" t="str">
        <f ca="1">IFERROR(__xludf.DUMMYFUNCTION("""COMPUTED_VALUE"""),"ИПР 535-Ехd-А «МОРОЗ» + ВН20 + ВН20 АТФЕ.425211.001 ТУ В комплекте с двумя вводами ВН20 из никелированной латуни.")</f>
        <v>ИПР 535-Ехd-А «МОРОЗ» + ВН20 + ВН20 АТФЕ.425211.001 ТУ В комплекте с двумя вводами ВН20 из никелированной латуни.</v>
      </c>
      <c r="B46"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(открытая прокладка кабеля диаметром 6-12 мм). Расположение вводов по умолчанию 2П ""Проход"&amp;"ное"",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(открытая прокладка кабеля диаметром 6-12 мм). Расположение вводов по умолчанию 2П "Проходное", 2У "Угловое" исполнение уточняется при заказе.</v>
      </c>
      <c r="C46" s="9">
        <f ca="1">IFERROR(__xludf.DUMMYFUNCTION("""COMPUTED_VALUE"""),9020)</f>
        <v>9020</v>
      </c>
      <c r="D46" s="6"/>
      <c r="E46" s="8"/>
    </row>
    <row r="47" spans="1:5" ht="127.5">
      <c r="A47" s="5" t="str">
        <f ca="1">IFERROR(__xludf.DUMMYFUNCTION("""COMPUTED_VALUE"""),"ИПР 535-Ехd-А «МОРОЗ» + ВН20МР15 + ВН20МР15 АТФЕ.425211.001 ТУ В комплекте с двумя вводами ВН20МР15 из никелированной латуни.")</f>
        <v>ИПР 535-Ехd-А «МОРОЗ» + ВН20МР15 + ВН20МР15 АТФЕ.425211.001 ТУ В комплекте с двумя вводами ВН20МР15 из никелированной латуни.</v>
      </c>
      <c r="B47"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диаметром 6-12 мм в металлорукаве). Расположение вводов по умолчанию 2П "&amp;"""Проходное"",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диаметром 6-12 мм в металлорукаве). Расположение вводов по умолчанию 2П "Проходное", 2У "Угловое" исполнение уточняется при заказе</v>
      </c>
      <c r="C47" s="9">
        <f ca="1">IFERROR(__xludf.DUMMYFUNCTION("""COMPUTED_VALUE"""),9350)</f>
        <v>9350</v>
      </c>
      <c r="D47" s="6"/>
      <c r="E47" s="8"/>
    </row>
    <row r="48" spans="1:5" ht="127.5">
      <c r="A48" s="5" t="str">
        <f ca="1">IFERROR(__xludf.DUMMYFUNCTION("""COMPUTED_VALUE"""),"ИПР 535-Ехd-А «МОРОЗ» + ВА20 + ВА20 АТФЕ.425211.001 ТУ В комплекте с двумя вводами ВА20 из никелированной латуни.")</f>
        <v>ИПР 535-Ехd-А «МОРОЗ» + ВА20 + ВА20 АТФЕ.425211.001 ТУ В комплекте с двумя вводами ВА20 из никелированной латуни.</v>
      </c>
      <c r="B48"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бронекабеля с внешним диаметром 9-17 мм). Расположение вводов по умолчанию 2П """&amp;"Проходное"",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бронекабеля с внешним диаметром 9-17 мм). Расположение вводов по умолчанию 2П "Проходное", 2У "Угловое" исполнение уточняется при заказе</v>
      </c>
      <c r="C48" s="9">
        <f ca="1">IFERROR(__xludf.DUMMYFUNCTION("""COMPUTED_VALUE"""),9680)</f>
        <v>9680</v>
      </c>
      <c r="D48" s="6"/>
      <c r="E48" s="8"/>
    </row>
    <row r="49" spans="1:5" ht="127.5">
      <c r="A49" s="5" t="str">
        <f ca="1">IFERROR(__xludf.DUMMYFUNCTION("""COMPUTED_VALUE"""),"ИПР 535-Ехd-А «МОРОЗ» + ВН20D1/2 + ВН20D1/2 АТФЕ.425211.001 ТУ В комплекте с двумя вводами ВН20D1/2 из никелированной латуни.")</f>
        <v>ИПР 535-Ехd-А «МОРОЗ» + ВН20D1/2 + ВН20D1/2 АТФЕ.425211.001 ТУ В комплекте с двумя вводами ВН20D1/2 из никелированной латуни.</v>
      </c>
      <c r="B49" s="6" t="str">
        <f ca="1">IFERROR(__xludf.DUMMYFUNCTION("""COMPUTED_VALUE"""),"Извещатель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с внешним диаметром 6-12 мм в трубе Т1/2). Расположение вводов по умолчан"&amp;"ию 2П""Проходное"", 2У ""Угловое"" исполнение уточняется при заказе")</f>
        <v>Извещатель приводится в действие удалением чеки-застежки, корпус из алюминиевого сплава, IP 66. Цвет красный. Укомплектовано двумя вводами из никелированной латуни (прокладка кабеля с внешним диаметром 6-12 мм в трубе Т1/2). Расположение вводов по умолчанию 2П"Проходное", 2У "Угловое" исполнение уточняется при заказе</v>
      </c>
      <c r="C49" s="9">
        <f ca="1">IFERROR(__xludf.DUMMYFUNCTION("""COMPUTED_VALUE"""),9680)</f>
        <v>9680</v>
      </c>
      <c r="D49" s="6"/>
      <c r="E49" s="8"/>
    </row>
    <row r="50" spans="1:5" ht="216.75">
      <c r="A50" s="5" t="str">
        <f ca="1">IFERROR(__xludf.DUMMYFUNCTION("""COMPUTED_VALUE"""),"УДП 535-Ехd «МОРОЗ» АТФЕ.425211.001 ТУ 
 ""ПУСК ПОЖАРОТУШЕНИЯ""")</f>
        <v>УДП 535-Ехd «МОРОЗ» АТФЕ.425211.001 ТУ 
 "ПУСК ПОЖАРОТУШЕНИЯ"</v>
      </c>
      <c r="B50"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желтый. Дополнительно комплектуется кабельными вводами из нержавеющей стали или никилерованной латуни, которые позволяю"&amp;"т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(угловой 2У и проходной 2П) и тремя (Т) отверстиями под кабельные вводы. "&amp;"Исполнение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желтый.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(угловой 2У и проходной 2П) и тремя (Т) отверстиями под кабельные вводы. Исполнение уточняется при заказе (по умолчанию 2П).</v>
      </c>
      <c r="C50" s="9">
        <f ca="1">IFERROR(__xludf.DUMMYFUNCTION("""COMPUTED_VALUE"""),7810)</f>
        <v>7810</v>
      </c>
      <c r="D50" s="6"/>
      <c r="E50" s="8"/>
    </row>
    <row r="51" spans="1:5" ht="229.5">
      <c r="A51" s="5" t="str">
        <f ca="1">IFERROR(__xludf.DUMMYFUNCTION("""COMPUTED_VALUE"""),"УДП 535-Ехd «МОРОЗ» АТФЕ.425211.001 ТУ 
 ""ДЫМОУДАЛЕНИЕ""")</f>
        <v>УДП 535-Ехd «МОРОЗ» АТФЕ.425211.001 ТУ 
 "ДЫМОУДАЛЕНИЕ"</v>
      </c>
      <c r="B51"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оранжевый. Дополнительно комплектуется кабельными вводами из нержавеющей стали или никилерованной латуни, которые позво"&amp;"ляют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ввод"&amp;"ы.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оранжевый.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1" s="9">
        <f ca="1">IFERROR(__xludf.DUMMYFUNCTION("""COMPUTED_VALUE"""),7810)</f>
        <v>7810</v>
      </c>
      <c r="D51" s="6"/>
      <c r="E51" s="8"/>
    </row>
    <row r="52" spans="1:5" ht="216.75">
      <c r="A52" s="5" t="str">
        <f ca="1">IFERROR(__xludf.DUMMYFUNCTION("""COMPUTED_VALUE"""),"УДП 535-Ехd «МОРОЗ» АТФЕ.425211.001 ТУ 
 ""АВАРИЙНЫЙ ВЫХОД""")</f>
        <v>УДП 535-Ехd «МОРОЗ» АТФЕ.425211.001 ТУ 
 "АВАРИЙНЫЙ ВЫХОД"</v>
      </c>
      <c r="B52"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вводы."&amp;"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2" s="9">
        <f ca="1">IFERROR(__xludf.DUMMYFUNCTION("""COMPUTED_VALUE"""),7766)</f>
        <v>7766</v>
      </c>
      <c r="D52" s="6"/>
      <c r="E52" s="8"/>
    </row>
    <row r="53" spans="1:5" ht="216.75">
      <c r="A53" s="5" t="str">
        <f ca="1">IFERROR(__xludf.DUMMYFUNCTION("""COMPUTED_VALUE"""),"УДП 535-Ехd «МОРОЗ» АТФЕ.425211.001 ТУ 
 ""РАЗБЛОКИРОВКА ДВЕРИ""")</f>
        <v>УДП 535-Ехd «МОРОЗ» АТФЕ.425211.001 ТУ 
 "РАЗБЛОКИРОВКА ДВЕРИ"</v>
      </c>
      <c r="B53" s="6" t="str">
        <f ca="1">IFERROR(__xludf.DUMMYFUNCTION("""COMPUTED_VALUE"""),"Устройство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позволя"&amp;"ют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вводы."&amp;" Исполнение уточняется при заказе (по умолчанию 2П).")</f>
        <v>Устройство приводится в действие удалением чеки-застежки после смещения защитного элемента , корпус из алюминиевого сплава, IP 66. Цвет зеленый. Дополнительно комплектуется кабельными вводами из нержавеющей стали или никилерованной латуни, которые позволяют ввести:
 - кабели круглого сечения – К,
 - кабель с прокладкой в трубе - Т, 
 - бронированный кабель - В,
 - кабель в металлорукаве - КМ
 Устройство выпускается с одним (0), двумя (угловое 2У и проходное 2П) и тремя (Т) отверстиями под кабельные вводы. Исполнение уточняется при заказе (по умолчанию 2П).</v>
      </c>
      <c r="C53" s="9">
        <f ca="1">IFERROR(__xludf.DUMMYFUNCTION("""COMPUTED_VALUE"""),7810)</f>
        <v>7810</v>
      </c>
      <c r="D53" s="6"/>
      <c r="E53" s="8"/>
    </row>
    <row r="54" spans="1:5" ht="51">
      <c r="A54" s="5" t="str">
        <f ca="1">IFERROR(__xludf.DUMMYFUNCTION("""COMPUTED_VALUE"""),"К-06 (нержавейка Ех) (193x120x98)")</f>
        <v>К-06 (нержавейка Ех) (193x120x98)</v>
      </c>
      <c r="B54" s="6" t="str">
        <f ca="1">IFERROR(__xludf.DUMMYFUNCTION("""COMPUTED_VALUE"""),"Для защиты от механического повреждения 
 и осадков. Из нержавеющей стали толщиной 0,5 мм.")</f>
        <v>Для защиты от механического повреждения 
 и осадков. Из нержавеющей стали толщиной 0,5 мм.</v>
      </c>
      <c r="C54" s="9">
        <f ca="1">IFERROR(__xludf.DUMMYFUNCTION("""COMPUTED_VALUE"""),1315.6)</f>
        <v>1315.6</v>
      </c>
      <c r="D54" s="6"/>
      <c r="E54" s="8"/>
    </row>
    <row r="55" spans="1:5" ht="63.75">
      <c r="A55" s="5" t="str">
        <f ca="1">IFERROR(__xludf.DUMMYFUNCTION("""COMPUTED_VALUE"""),"К-06 (S) (193x120x98)")</f>
        <v>К-06 (S) (193x120x98)</v>
      </c>
      <c r="B55" s="6" t="str">
        <f ca="1">IFERROR(__xludf.DUMMYFUNCTION("""COMPUTED_VALUE"""),"Для защиты от механического повреждения
  и осадков. Из стали Ст-3 толщиной 1 мм. Цвет – красный, желтый, оранжевый, зеленый (определяется при заказе).")</f>
        <v>Для защиты от механического повреждения
  и осадков. Из стали Ст-3 толщиной 1 мм. Цвет – красный, желтый, оранжевый, зеленый (определяется при заказе).</v>
      </c>
      <c r="C55" s="9">
        <f ca="1">IFERROR(__xludf.DUMMYFUNCTION("""COMPUTED_VALUE"""),1430)</f>
        <v>1430</v>
      </c>
      <c r="D55" s="6"/>
      <c r="E55" s="8"/>
    </row>
    <row r="56" spans="1:5" ht="76.5">
      <c r="A56" s="5" t="str">
        <f ca="1">IFERROR(__xludf.DUMMYFUNCTION("""COMPUTED_VALUE"""),"ДПГ NO 1 м FRLS АТФЕ.425119.197ПС")</f>
        <v>ДПГ NO 1 м FRLS АТФЕ.425119.197ПС</v>
      </c>
      <c r="B56"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6" s="9">
        <f ca="1">IFERROR(__xludf.DUMMYFUNCTION("""COMPUTED_VALUE"""),2153.8)</f>
        <v>2153.8000000000002</v>
      </c>
      <c r="D56" s="6"/>
      <c r="E56" s="8"/>
    </row>
    <row r="57" spans="1:5" ht="76.5">
      <c r="A57" s="5" t="str">
        <f ca="1">IFERROR(__xludf.DUMMYFUNCTION("""COMPUTED_VALUE"""),"ДПГ NAMUR 1 м FRLS АТФЕ.425119.197ПС")</f>
        <v>ДПГ NAMUR 1 м FRLS АТФЕ.425119.197ПС</v>
      </c>
      <c r="B57"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7" s="9">
        <f ca="1">IFERROR(__xludf.DUMMYFUNCTION("""COMPUTED_VALUE"""),2395.8)</f>
        <v>2395.8000000000002</v>
      </c>
      <c r="D57" s="6"/>
      <c r="E57" s="8"/>
    </row>
    <row r="58" spans="1:5" ht="76.5">
      <c r="A58" s="5" t="str">
        <f ca="1">IFERROR(__xludf.DUMMYFUNCTION("""COMPUTED_VALUE"""),"ДПГ NO/NC 1 м FRLS АТФЕ.425119.197ПС")</f>
        <v>ДПГ NO/NC 1 м FRLS АТФЕ.425119.197ПС</v>
      </c>
      <c r="B58" s="6" t="str">
        <f ca="1">IFERROR(__xludf.DUMMYFUNCTION("""COMPUTED_VALUE"""),"предназначен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f>
        <v>предназначен для контроля положения подвижных частей конструкций и механизмов выполненных из магнитопроводных и немагнитопроводных материалов на перемещение или смещение</v>
      </c>
      <c r="C58" s="9">
        <f ca="1">IFERROR(__xludf.DUMMYFUNCTION("""COMPUTED_VALUE"""),2395.8)</f>
        <v>2395.8000000000002</v>
      </c>
      <c r="D58" s="6"/>
      <c r="E58" s="8"/>
    </row>
    <row r="59" spans="1:5" ht="12.75">
      <c r="A59" s="5" t="str">
        <f ca="1">IFERROR(__xludf.DUMMYFUNCTION("""COMPUTED_VALUE"""),"СТС002")</f>
        <v>СТС002</v>
      </c>
      <c r="B59" s="6" t="str">
        <f ca="1">IFERROR(__xludf.DUMMYFUNCTION("""COMPUTED_VALUE"""),"подключение 4-х жильный провод, IP65")</f>
        <v>подключение 4-х жильный провод, IP65</v>
      </c>
      <c r="C59" s="9">
        <f ca="1">IFERROR(__xludf.DUMMYFUNCTION("""COMPUTED_VALUE"""),1188)</f>
        <v>1188</v>
      </c>
      <c r="D59" s="6"/>
      <c r="E59" s="8"/>
    </row>
    <row r="60" spans="1:5" ht="25.5">
      <c r="A60" s="5" t="str">
        <f ca="1">IFERROR(__xludf.DUMMYFUNCTION("""COMPUTED_VALUE"""),"СТС005")</f>
        <v>СТС005</v>
      </c>
      <c r="B60" s="6" t="str">
        <f ca="1">IFERROR(__xludf.DUMMYFUNCTION("""COMPUTED_VALUE"""),"подключение 4-х жильный провод в металлорукаве, IP65")</f>
        <v>подключение 4-х жильный провод в металлорукаве, IP65</v>
      </c>
      <c r="C60" s="9">
        <f ca="1">IFERROR(__xludf.DUMMYFUNCTION("""COMPUTED_VALUE"""),1287)</f>
        <v>1287</v>
      </c>
      <c r="D60" s="6"/>
      <c r="E60" s="8"/>
    </row>
    <row r="61" spans="1:5" ht="25.5">
      <c r="A61" s="5" t="str">
        <f ca="1">IFERROR(__xludf.DUMMYFUNCTION("""COMPUTED_VALUE"""),"СТС006")</f>
        <v>СТС006</v>
      </c>
      <c r="B61" s="6" t="str">
        <f ca="1">IFERROR(__xludf.DUMMYFUNCTION("""COMPUTED_VALUE"""),"переключающий контакт, подключение 5-ти жильный провод, IP65")</f>
        <v>переключающий контакт, подключение 5-ти жильный провод, IP65</v>
      </c>
      <c r="C61" s="9">
        <f ca="1">IFERROR(__xludf.DUMMYFUNCTION("""COMPUTED_VALUE"""),1465)</f>
        <v>1465</v>
      </c>
      <c r="D61" s="6"/>
      <c r="E61" s="8"/>
    </row>
    <row r="62" spans="1:5" ht="12.75">
      <c r="A62" s="5" t="str">
        <f ca="1">IFERROR(__xludf.DUMMYFUNCTION("""COMPUTED_VALUE"""),"СТС046")</f>
        <v>СТС046</v>
      </c>
      <c r="B62" s="6" t="str">
        <f ca="1">IFERROR(__xludf.DUMMYFUNCTION("""COMPUTED_VALUE"""),"подключение 4-х жильный провод, IP65")</f>
        <v>подключение 4-х жильный провод, IP65</v>
      </c>
      <c r="C62" s="9">
        <f ca="1">IFERROR(__xludf.DUMMYFUNCTION("""COMPUTED_VALUE"""),1584)</f>
        <v>1584</v>
      </c>
      <c r="D62" s="6"/>
      <c r="E62" s="8"/>
    </row>
    <row r="63" spans="1:5" ht="38.25">
      <c r="A63" s="5" t="str">
        <f ca="1">IFERROR(__xludf.DUMMYFUNCTION("""COMPUTED_VALUE"""),"СТС047")</f>
        <v>СТС047</v>
      </c>
      <c r="B63" s="6" t="str">
        <f ca="1">IFERROR(__xludf.DUMMYFUNCTION("""COMPUTED_VALUE"""),"подключение 5 клемм, возможность установки резистора и подключения тампера, IP55")</f>
        <v>подключение 5 клемм, возможность установки резистора и подключения тампера, IP55</v>
      </c>
      <c r="C63" s="9">
        <f ca="1">IFERROR(__xludf.DUMMYFUNCTION("""COMPUTED_VALUE"""),1584)</f>
        <v>1584</v>
      </c>
      <c r="D63" s="6"/>
      <c r="E63" s="8"/>
    </row>
    <row r="64" spans="1:5" ht="25.5">
      <c r="A64" s="5" t="str">
        <f ca="1">IFERROR(__xludf.DUMMYFUNCTION("""COMPUTED_VALUE"""),"СТС147")</f>
        <v>СТС147</v>
      </c>
      <c r="B64" s="6" t="str">
        <f ca="1">IFERROR(__xludf.DUMMYFUNCTION("""COMPUTED_VALUE"""),"переключающиеся контакты, 5 клемм (2 для подключения тампера), IP55")</f>
        <v>переключающиеся контакты, 5 клемм (2 для подключения тампера), IP55</v>
      </c>
      <c r="C64" s="9">
        <f ca="1">IFERROR(__xludf.DUMMYFUNCTION("""COMPUTED_VALUE"""),2376)</f>
        <v>2376</v>
      </c>
      <c r="D64" s="6"/>
      <c r="E64" s="8"/>
    </row>
    <row r="65" spans="1:5" ht="25.5">
      <c r="A65" s="5" t="str">
        <f ca="1">IFERROR(__xludf.DUMMYFUNCTION("""COMPUTED_VALUE"""),"Световод АЯКС PLP2-215")</f>
        <v>Световод АЯКС PLP2-215</v>
      </c>
      <c r="B65" s="6" t="str">
        <f ca="1">IFERROR(__xludf.DUMMYFUNCTION("""COMPUTED_VALUE"""),"Ø 3.3 мм, параллельное свечение, прозрачный поликарбонат (UL), UL94V-2")</f>
        <v>Ø 3.3 мм, параллельное свечение, прозрачный поликарбонат (UL), UL94V-2</v>
      </c>
      <c r="C65" s="9">
        <f ca="1">IFERROR(__xludf.DUMMYFUNCTION("""COMPUTED_VALUE"""),54)</f>
        <v>54</v>
      </c>
      <c r="D65" s="6"/>
      <c r="E65" s="8"/>
    </row>
    <row r="66" spans="1:5" ht="25.5">
      <c r="A66" s="5" t="str">
        <f ca="1">IFERROR(__xludf.DUMMYFUNCTION("""COMPUTED_VALUE"""),"Световод АЯКС LEM-5")</f>
        <v>Световод АЯКС LEM-5</v>
      </c>
      <c r="B66" s="6" t="str">
        <f ca="1">IFERROR(__xludf.DUMMYFUNCTION("""COMPUTED_VALUE"""),"Ø 5 мм, световод для светодиода, прозрачный поликарбонат (UL), UL94V-2")</f>
        <v>Ø 5 мм, световод для светодиода, прозрачный поликарбонат (UL), UL94V-2</v>
      </c>
      <c r="C66" s="9">
        <f ca="1">IFERROR(__xludf.DUMMYFUNCTION("""COMPUTED_VALUE"""),48)</f>
        <v>48</v>
      </c>
      <c r="D66" s="6"/>
      <c r="E66" s="8"/>
    </row>
    <row r="67" spans="1:5" ht="12.75">
      <c r="A67" s="5" t="str">
        <f ca="1">IFERROR(__xludf.DUMMYFUNCTION("""COMPUTED_VALUE"""),"Световод АЯКС PLP2-625")</f>
        <v>Световод АЯКС PLP2-625</v>
      </c>
      <c r="B67" s="6"/>
      <c r="C67" s="9">
        <f ca="1">IFERROR(__xludf.DUMMYFUNCTION("""COMPUTED_VALUE"""),86)</f>
        <v>86</v>
      </c>
      <c r="D67" s="6"/>
      <c r="E67" s="8"/>
    </row>
    <row r="68" spans="1:5" ht="127.5">
      <c r="A68" s="5" t="str">
        <f ca="1">IFERROR(__xludf.DUMMYFUNCTION("""COMPUTED_VALUE"""),"Ограничитель дверной Стопор-Ех АЯКС (нержавейка Ех) напольный")</f>
        <v>Ограничитель дверной Стопор-Ех АЯКС (нержавейка Ех) напольный</v>
      </c>
      <c r="B68" s="6" t="str">
        <f ca="1">IFERROR(__xludf.DUMMYFUNCTION("""COMPUTED_VALUE"""),"Ограничитель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полотн"&amp;"о от повреждений. Подходит как для входных так и межкомнатных дверей.")</f>
        <v>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полотно от повреждений. Подходит как для входных так и межкомнатных дверей.</v>
      </c>
      <c r="C68" s="9">
        <f ca="1">IFERROR(__xludf.DUMMYFUNCTION("""COMPUTED_VALUE"""),2860)</f>
        <v>2860</v>
      </c>
      <c r="D68" s="6"/>
      <c r="E68" s="8"/>
    </row>
    <row r="69" spans="1:5" ht="127.5">
      <c r="A69" s="5" t="str">
        <f ca="1">IFERROR(__xludf.DUMMYFUNCTION("""COMPUTED_VALUE"""),"Ограничитель дверной Стопор-Ех АЯКС (нержавейка Ех) универсальный")</f>
        <v>Ограничитель дверной Стопор-Ех АЯКС (нержавейка Ех) универсальный</v>
      </c>
      <c r="B69" s="6" t="str">
        <f ca="1">IFERROR(__xludf.DUMMYFUNCTION("""COMPUTED_VALUE"""),"Ограничитель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полотн"&amp;"о от повреждений. Подходит как для входных так и межкомнатных дверей.")</f>
        <v>Ограничитель дверной Стопор-Ех АЯКС (нержавейка Ех) предназначен для ограничения угла разворота двери в помещениях и зданиях имеющих категории взрывоопасности, выполнен из магнито-нейтральной нержавеющей стали. Позволяет обезопасить стену и дверное полотно от повреждений. Подходит как для входных так и межкомнатных дверей.</v>
      </c>
      <c r="C69" s="9">
        <f ca="1">IFERROR(__xludf.DUMMYFUNCTION("""COMPUTED_VALUE"""),6600)</f>
        <v>6600</v>
      </c>
      <c r="D69" s="6"/>
      <c r="E69" s="8"/>
    </row>
    <row r="70" spans="1:5" ht="153">
      <c r="A70" s="5" t="str">
        <f ca="1">IFERROR(__xludf.DUMMYFUNCTION("""COMPUTED_VALUE"""),"Рукав пожарный для создания водяных завес")</f>
        <v>Рукав пожарный для создания водяных завес</v>
      </c>
      <c r="B70" s="6" t="str">
        <f ca="1">IFERROR(__xludf.DUMMYFUNCTION("""COMPUTED_VALUE"""),"Рукав поставляется с навязанными соединительными головками ГР-50. Основа рукава для создания водяных завес: напорный рукав с повышенной стойкостью к истиранию (абразивному износу), воздействию масел и различных нефтепродуктов. Рукав имеет внутреннее гидро"&amp;"изоляционное и наружное защитное покрытие: по всей длине рукава, через каждые 50 см, встроены специальные сменные дюзы, выполненные из нержавеющей стали.")</f>
        <v>Рукав поставляется с навязанными соединительными головками ГР-50. Основа рукава для создания водяных завес: напорный рукав с повышенной стойкостью к истиранию (абразивному износу), воздействию масел и различных нефтепродуктов. Рукав имеет внутреннее гидроизоляционное и наружное защитное покрытие: по всей длине рукава, через каждые 50 см, встроены специальные сменные дюзы, выполненные из нержавеющей стали.</v>
      </c>
      <c r="C70" s="9">
        <f ca="1">IFERROR(__xludf.DUMMYFUNCTION("""COMPUTED_VALUE"""),26400)</f>
        <v>26400</v>
      </c>
      <c r="D70" s="6"/>
      <c r="E70" s="8"/>
    </row>
    <row r="71" spans="1:5" ht="25.5">
      <c r="A71" s="5" t="str">
        <f ca="1">IFERROR(__xludf.DUMMYFUNCTION("""COMPUTED_VALUE"""),"Оповещатель звуковой «АЛАБАЙ» исп. 00
АТФЕ 425542.193")</f>
        <v>Оповещатель звуковой «АЛАБАЙ» исп. 00
АТФЕ 425542.193</v>
      </c>
      <c r="B71" s="6" t="str">
        <f ca="1">IFERROR(__xludf.DUMMYFUNCTION("""COMPUTED_VALUE"""),"Однотональный, 95±3 дБ, гермовводы, питание 12В, IP54")</f>
        <v>Однотональный, 95±3 дБ, гермовводы, питание 12В, IP54</v>
      </c>
      <c r="C71" s="9">
        <f ca="1">IFERROR(__xludf.DUMMYFUNCTION("""COMPUTED_VALUE"""),1076.9)</f>
        <v>1076.9000000000001</v>
      </c>
      <c r="D71" s="6"/>
      <c r="E71" s="8"/>
    </row>
    <row r="72" spans="1:5" ht="38.25">
      <c r="A72" s="5" t="str">
        <f ca="1">IFERROR(__xludf.DUMMYFUNCTION("""COMPUTED_VALUE"""),"Оповещатель звуковой «АЛАБАЙ» исп.01
АТФЕ 425542.193")</f>
        <v>Оповещатель звуковой «АЛАБАЙ» исп.01
АТФЕ 425542.193</v>
      </c>
      <c r="B72" s="6" t="str">
        <f ca="1">IFERROR(__xludf.DUMMYFUNCTION("""COMPUTED_VALUE"""),"Трехтональный (с возможностью выбора тона), 95±3 дБ, гермовводы, питание 12В, IP54")</f>
        <v>Трехтональный (с возможностью выбора тона), 95±3 дБ, гермовводы, питание 12В, IP54</v>
      </c>
      <c r="C72" s="9">
        <f ca="1">IFERROR(__xludf.DUMMYFUNCTION("""COMPUTED_VALUE"""),2299)</f>
        <v>2299</v>
      </c>
      <c r="D72" s="6"/>
      <c r="E72" s="8"/>
    </row>
    <row r="73" spans="1:5" ht="38.25">
      <c r="A73" s="5" t="str">
        <f ca="1">IFERROR(__xludf.DUMMYFUNCTION("""COMPUTED_VALUE"""),"Оповещатель звуковой «АЛАБАЙ» исп.02
АТФЕ 425542.193")</f>
        <v>Оповещатель звуковой «АЛАБАЙ» исп.02
АТФЕ 425542.193</v>
      </c>
      <c r="B73" s="6" t="str">
        <f ca="1">IFERROR(__xludf.DUMMYFUNCTION("""COMPUTED_VALUE"""),"Трехтональный (с возможностью выбора тона), 95±3 дБ, Вывод КСПВГ(2х0,2) длина 0,5м Ø3 мм, питание 12В, IP54")</f>
        <v>Трехтональный (с возможностью выбора тона), 95±3 дБ, Вывод КСПВГ(2х0,2) длина 0,5м Ø3 мм, питание 12В, IP54</v>
      </c>
      <c r="C73" s="9">
        <f ca="1">IFERROR(__xludf.DUMMYFUNCTION("""COMPUTED_VALUE"""),2395.8)</f>
        <v>2395.8000000000002</v>
      </c>
      <c r="D73" s="6"/>
      <c r="E73" s="8"/>
    </row>
    <row r="74" spans="1:5" ht="25.5">
      <c r="A74" s="5" t="str">
        <f ca="1">IFERROR(__xludf.DUMMYFUNCTION("""COMPUTED_VALUE"""),"Оповещатель звуковой «АЛАБАЙ» исп.03
АТФЕ 425542.193")</f>
        <v>Оповещатель звуковой «АЛАБАЙ» исп.03
АТФЕ 425542.193</v>
      </c>
      <c r="B74" s="6" t="str">
        <f ca="1">IFERROR(__xludf.DUMMYFUNCTION("""COMPUTED_VALUE"""),"Однотональный, 95±3 дБ, гермовводы, питание 24В, IP54")</f>
        <v>Однотональный, 95±3 дБ, гермовводы, питание 24В, IP54</v>
      </c>
      <c r="C74" s="9">
        <f ca="1">IFERROR(__xludf.DUMMYFUNCTION("""COMPUTED_VALUE"""),1076.9)</f>
        <v>1076.9000000000001</v>
      </c>
      <c r="D74" s="6"/>
      <c r="E74" s="8"/>
    </row>
    <row r="75" spans="1:5" ht="38.25">
      <c r="A75" s="5" t="str">
        <f ca="1">IFERROR(__xludf.DUMMYFUNCTION("""COMPUTED_VALUE"""),"Оповещатель звуковой «АЛАБАЙ» исп.04
АТФЕ 425542.193")</f>
        <v>Оповещатель звуковой «АЛАБАЙ» исп.04
АТФЕ 425542.193</v>
      </c>
      <c r="B75" s="6" t="str">
        <f ca="1">IFERROR(__xludf.DUMMYFUNCTION("""COMPUTED_VALUE"""),"Трехтональный (с возможностью выбора тона), 95±3 дБ, гермовводы, питание 24В, IP54")</f>
        <v>Трехтональный (с возможностью выбора тона), 95±3 дБ, гермовводы, питание 24В, IP54</v>
      </c>
      <c r="C75" s="9">
        <f ca="1">IFERROR(__xludf.DUMMYFUNCTION("""COMPUTED_VALUE"""),2299)</f>
        <v>2299</v>
      </c>
      <c r="D75" s="6"/>
      <c r="E75" s="8"/>
    </row>
    <row r="76" spans="1:5" ht="25.5">
      <c r="A76" s="5" t="str">
        <f ca="1">IFERROR(__xludf.DUMMYFUNCTION("""COMPUTED_VALUE"""),"Оповещатель звуковой «АЛАБАЙ» исп.05
АТФЕ 425542.193")</f>
        <v>Оповещатель звуковой «АЛАБАЙ» исп.05
АТФЕ 425542.193</v>
      </c>
      <c r="B76" s="6" t="str">
        <f ca="1">IFERROR(__xludf.DUMMYFUNCTION("""COMPUTED_VALUE"""),"Однотональный, 105 дБ, питание 24В, IP66")</f>
        <v>Однотональный, 105 дБ, питание 24В, IP66</v>
      </c>
      <c r="C76" s="9">
        <f ca="1">IFERROR(__xludf.DUMMYFUNCTION("""COMPUTED_VALUE"""),5445)</f>
        <v>5445</v>
      </c>
      <c r="D76" s="6"/>
      <c r="E76" s="8"/>
    </row>
    <row r="77" spans="1:5" ht="38.25">
      <c r="A77" s="5" t="str">
        <f ca="1">IFERROR(__xludf.DUMMYFUNCTION("""COMPUTED_VALUE"""),"Оповещатель звуковой «АЛАБАЙ» исп.06
АТФЕ 425542.193")</f>
        <v>Оповещатель звуковой «АЛАБАЙ» исп.06
АТФЕ 425542.193</v>
      </c>
      <c r="B77" s="6" t="str">
        <f ca="1">IFERROR(__xludf.DUMMYFUNCTION("""COMPUTED_VALUE"""),"Трехтональный (с возможностью выбора тона), 95±3 дБ, Вывод КСПВГ(2х0,2) длина 0,5м Ø3 мм, питание 24В, IP54")</f>
        <v>Трехтональный (с возможностью выбора тона), 95±3 дБ, Вывод КСПВГ(2х0,2) длина 0,5м Ø3 мм, питание 24В, IP54</v>
      </c>
      <c r="C77" s="9">
        <f ca="1">IFERROR(__xludf.DUMMYFUNCTION("""COMPUTED_VALUE"""),2395.8)</f>
        <v>2395.8000000000002</v>
      </c>
      <c r="D77" s="6"/>
      <c r="E77" s="8"/>
    </row>
    <row r="78" spans="1:5" ht="63.75">
      <c r="A78" s="5" t="str">
        <f ca="1">IFERROR(__xludf.DUMMYFUNCTION("""COMPUTED_VALUE"""),"Оповещатель звуковой «АЛАБАЙ» исп.220
АТФЕ 425542.193")</f>
        <v>Оповещатель звуковой «АЛАБАЙ» исп.220
АТФЕ 425542.193</v>
      </c>
      <c r="B78" s="6" t="str">
        <f ca="1">IFERROR(__xludf.DUMMYFUNCTION("""COMPUTED_VALUE"""),"220В. многотональный (с возможностью выбора тона)
- 95±3 дБ
- гермовводы, клеммы WAGO в комплекте ")</f>
        <v xml:space="preserve">220В. многотональный (с возможностью выбора тона)
- 95±3 дБ
- гермовводы, клеммы WAGO в комплекте </v>
      </c>
      <c r="C78" s="9">
        <f ca="1">IFERROR(__xludf.DUMMYFUNCTION("""COMPUTED_VALUE"""),3840)</f>
        <v>3840</v>
      </c>
      <c r="D78" s="6"/>
      <c r="E78" s="8"/>
    </row>
    <row r="79" spans="1:5" ht="25.5">
      <c r="A79" s="5" t="str">
        <f ca="1">IFERROR(__xludf.DUMMYFUNCTION("""COMPUTED_VALUE"""),"Оповещатель звуковой «АЯКС» IP66")</f>
        <v>Оповещатель звуковой «АЯКС» IP66</v>
      </c>
      <c r="B79" s="6" t="str">
        <f ca="1">IFERROR(__xludf.DUMMYFUNCTION("""COMPUTED_VALUE"""),"Оповещатель звуковой, 12/24 В, 85 дБ, IP66, подключение - провод.")</f>
        <v>Оповещатель звуковой, 12/24 В, 85 дБ, IP66, подключение - провод.</v>
      </c>
      <c r="C79" s="9">
        <f ca="1">IFERROR(__xludf.DUMMYFUNCTION("""COMPUTED_VALUE"""),4950)</f>
        <v>4950</v>
      </c>
      <c r="D79" s="6"/>
      <c r="E79" s="8"/>
    </row>
    <row r="80" spans="1:5" ht="25.5">
      <c r="A80" s="5" t="str">
        <f ca="1">IFERROR(__xludf.DUMMYFUNCTION("""COMPUTED_VALUE"""),"Оповещатель звуковой АЯКС-12")</f>
        <v>Оповещатель звуковой АЯКС-12</v>
      </c>
      <c r="B80" s="6" t="str">
        <f ca="1">IFERROR(__xludf.DUMMYFUNCTION("""COMPUTED_VALUE"""),"Оповещатель звуковой, 12 В, 100 дБ, IP40, подключение - провод.")</f>
        <v>Оповещатель звуковой, 12 В, 100 дБ, IP40, подключение - провод.</v>
      </c>
      <c r="C80" s="9">
        <f ca="1">IFERROR(__xludf.DUMMYFUNCTION("""COMPUTED_VALUE"""),980)</f>
        <v>980</v>
      </c>
      <c r="D80" s="6"/>
      <c r="E80" s="8"/>
    </row>
    <row r="81" spans="1:5" ht="25.5">
      <c r="A81" s="5" t="str">
        <f ca="1">IFERROR(__xludf.DUMMYFUNCTION("""COMPUTED_VALUE"""),"Оповещатель звуковой АЯКС-24")</f>
        <v>Оповещатель звуковой АЯКС-24</v>
      </c>
      <c r="B81" s="6" t="str">
        <f ca="1">IFERROR(__xludf.DUMMYFUNCTION("""COMPUTED_VALUE"""),"Оповещатель звуковой, 24 В, 100 дБ, IP40, подключение - провод.")</f>
        <v>Оповещатель звуковой, 24 В, 100 дБ, IP40, подключение - провод.</v>
      </c>
      <c r="C81" s="9">
        <f ca="1">IFERROR(__xludf.DUMMYFUNCTION("""COMPUTED_VALUE"""),980)</f>
        <v>980</v>
      </c>
      <c r="D81" s="6"/>
      <c r="E81" s="8"/>
    </row>
    <row r="82" spans="1:5" ht="127.5">
      <c r="A82" s="5" t="str">
        <f ca="1">IFERROR(__xludf.DUMMYFUNCTION("""COMPUTED_VALUE"""),"МК04 (А) А110 200
АТФЕ.425119.191ТУ")</f>
        <v>МК04 (А) А110 200
АТФЕ.425119.191ТУ</v>
      </c>
      <c r="B82" s="6" t="str">
        <f ca="1">IFERROR(__xludf.DUMMYFUNCTION("""COMPUTED_VALUE"""),"Универсальный ультраминиатюрный (23х14х6 мм) датчик положения, для установки на все типы поверхностей. Нормально разомкнутый, вывод 200мм. Расстояние срабатывания/ восстановления: на магнитоактивной поверхности 6/10 мм, на магнитопассивной поверхности 15/"&amp;"20мм.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разомкнутый, вывод 200мм. Расстояние срабатывания/ восстановления: на магнитоактивной поверхности 6/10 мм, на магнитопассивной поверхности 15/20мм. Температура окружающей среды от -50 до +70 °С</v>
      </c>
      <c r="C82" s="9">
        <f ca="1">IFERROR(__xludf.DUMMYFUNCTION("""COMPUTED_VALUE"""),365)</f>
        <v>365</v>
      </c>
      <c r="D82" s="6"/>
      <c r="E82" s="8"/>
    </row>
    <row r="83" spans="1:5" ht="153">
      <c r="A83" s="5" t="str">
        <f ca="1">IFERROR(__xludf.DUMMYFUNCTION("""COMPUTED_VALUE"""),"МК04 (А) В110 200
АТФЕ.425119.191ТУ")</f>
        <v>МК04 (А) В110 200
АТФЕ.425119.191ТУ</v>
      </c>
      <c r="B83" s="6" t="str">
        <f ca="1">IFERROR(__xludf.DUMMYFUNCTION("""COMPUTED_VALUE"""),"Универсальный ультраминиатюрный (23х14х6 
 мм), датчик положения, для установки на все типы поверхностей. Нормально разомкнутый, вывод 200мм, коммутируемое напряжение до 180 В. Расстояние срабатывания/ восстановления: на магнитоактивной поверхности 6/10 м"&amp;"м, на магнитопассивной поверхности 11/18мм.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разомкнутый, вывод 200мм, коммутируемое напряжение до 180 В. Расстояние срабатывания/ восстановления: на магнитоактивной поверхности 6/10 мм, на магнитопассивной поверхности 11/18мм. Температура окружающей среды от -50 до +70 °С</v>
      </c>
      <c r="C83" s="9">
        <f ca="1">IFERROR(__xludf.DUMMYFUNCTION("""COMPUTED_VALUE"""),477)</f>
        <v>477</v>
      </c>
      <c r="D83" s="6"/>
      <c r="E83" s="8"/>
    </row>
    <row r="84" spans="1:5" ht="127.5">
      <c r="A84" s="5" t="str">
        <f ca="1">IFERROR(__xludf.DUMMYFUNCTION("""COMPUTED_VALUE"""),"МК04 (В) А104 200
АТФЕ.425119.191ТУ")</f>
        <v>МК04 (В) А104 200
АТФЕ.425119.191ТУ</v>
      </c>
      <c r="B84" s="6" t="str">
        <f ca="1">IFERROR(__xludf.DUMMYFUNCTION("""COMPUTED_VALUE"""),"Универсальный ультраминиатюрный (23х14х6
  мм) датчик положения, для установки на все типы поверхностей. Нормально замкнутый, вывод 200мм. Расстояние срабатывания/ восстановления: на магнитоактивной поверхности 6/10 мм, на магнитопассивной поверхности 11/"&amp;"15мм. Температура окружающей среды от -50 до +70 °С")</f>
        <v>Универсальный ультраминиатюрный (23х14х6
  мм) датчик положения, для установки на все типы поверхностей. Нормально замкнутый, вывод 200мм. Расстояние срабатывания/ восстановления: на магнитоактивной поверхности 6/10 мм, на магнитопассивной поверхности 11/15мм. Температура окружающей среды от -50 до +70 °С</v>
      </c>
      <c r="C84" s="9">
        <f ca="1">IFERROR(__xludf.DUMMYFUNCTION("""COMPUTED_VALUE"""),600)</f>
        <v>600</v>
      </c>
      <c r="D84" s="6"/>
      <c r="E84" s="8"/>
    </row>
    <row r="85" spans="1:5" ht="140.25">
      <c r="A85" s="5" t="str">
        <f ca="1">IFERROR(__xludf.DUMMYFUNCTION("""COMPUTED_VALUE"""),"МК04 (С) А104 200
АТФЕ.425119.191ТУ")</f>
        <v>МК04 (С) А104 200
АТФЕ.425119.191ТУ</v>
      </c>
      <c r="B85" s="6" t="str">
        <f ca="1">IFERROR(__xludf.DUMMYFUNCTION("""COMPUTED_VALUE"""),"Универсальный ультраминиатюрный (23х14х6
  мм) датчик положения, для установки на все типы поверхностей. Переключающий контакт, вывод 200мм. Расстояние срабатывания/ восстановления: на магнитоактивной поверхности 6/10 мм, на магнитопассивной поверхности 1"&amp;"1/15мм. Температура окружающей среды от -50 до +70 °С")</f>
        <v>Универсальный ультраминиатюрный (23х14х6
  мм) датчик положения, для установки на все типы поверхностей. Переключающий контакт, вывод 200мм. Расстояние срабатывания/ восстановления: на магнитоактивной поверхности 6/10 мм, на магнитопассивной поверхности 11/15мм. Температура окружающей среды от -50 до +70 °С</v>
      </c>
      <c r="C85" s="9">
        <f ca="1">IFERROR(__xludf.DUMMYFUNCTION("""COMPUTED_VALUE"""),600)</f>
        <v>600</v>
      </c>
      <c r="D85" s="6"/>
      <c r="E85" s="8"/>
    </row>
    <row r="86" spans="1:5" ht="89.25">
      <c r="A86" s="5" t="str">
        <f ca="1">IFERROR(__xludf.DUMMYFUNCTION("""COMPUTED_VALUE"""),"Монтажная коробка ""МК+Видео Гранд"", IP66/67 Белая")</f>
        <v>Монтажная коробка "МК+Видео Гранд", IP66/67 Белая</v>
      </c>
      <c r="B86" s="6" t="str">
        <f ca="1">IFERROR(__xludf.DUMMYFUNCTION("""COMPUTED_VALUE"""),"""глухая"",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f>
        <v>"глухая",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v>
      </c>
      <c r="C86" s="9">
        <f ca="1">IFERROR(__xludf.DUMMYFUNCTION("""COMPUTED_VALUE"""),855)</f>
        <v>855</v>
      </c>
      <c r="D86" s="6"/>
      <c r="E86" s="8"/>
    </row>
    <row r="87" spans="1:5" ht="89.25">
      <c r="A87" s="5" t="str">
        <f ca="1">IFERROR(__xludf.DUMMYFUNCTION("""COMPUTED_VALUE"""),"Монтажная коробка ""МК+Видео Гранд"", IP66/67 Черная")</f>
        <v>Монтажная коробка "МК+Видео Гранд", IP66/67 Черная</v>
      </c>
      <c r="B87" s="6" t="str">
        <f ca="1">IFERROR(__xludf.DUMMYFUNCTION("""COMPUTED_VALUE"""),"""глухая"",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f>
        <v>"глухая", IP66/67, усиленная, накладная, 180х180х97, материал пластик. Предназначена, например, для наружной установки крупногабаритных камер видеонаблюдения, монтажа РЭА, с возможностью установки платы питания и АКБ 12В 7А/ч</v>
      </c>
      <c r="C87" s="9">
        <f ca="1">IFERROR(__xludf.DUMMYFUNCTION("""COMPUTED_VALUE"""),855)</f>
        <v>855</v>
      </c>
      <c r="D87" s="6"/>
      <c r="E87" s="8"/>
    </row>
    <row r="88" spans="1:5" ht="89.25">
      <c r="A88" s="5" t="str">
        <f ca="1">IFERROR(__xludf.DUMMYFUNCTION("""COMPUTED_VALUE"""),"Монтажная коробка ""МК+Видео Гранд"", IP66/67 Белая, исп.01")</f>
        <v>Монтажная коробка "МК+Видео Гранд", IP66/67 Белая, исп.01</v>
      </c>
      <c r="B88" s="6" t="str">
        <f ca="1">IFERROR(__xludf.DUMMYFUNCTION("""COMPUTED_VALUE"""),"с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88" s="9">
        <f ca="1">IFERROR(__xludf.DUMMYFUNCTION("""COMPUTED_VALUE"""),924)</f>
        <v>924</v>
      </c>
      <c r="D88" s="6"/>
      <c r="E88" s="8"/>
    </row>
    <row r="89" spans="1:5" ht="89.25">
      <c r="A89" s="5" t="str">
        <f ca="1">IFERROR(__xludf.DUMMYFUNCTION("""COMPUTED_VALUE"""),"Монтажная коробка ""МК+Видео Гранд"", IP66/67 Черная, исп.01")</f>
        <v>Монтажная коробка "МК+Видео Гранд", IP66/67 Черная, исп.01</v>
      </c>
      <c r="B89" s="6" t="str">
        <f ca="1">IFERROR(__xludf.DUMMYFUNCTION("""COMPUTED_VALUE"""),"с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штатным отверстием Ø 30 мм в крышке,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89" s="9">
        <f ca="1">IFERROR(__xludf.DUMMYFUNCTION("""COMPUTED_VALUE"""),924)</f>
        <v>924</v>
      </c>
      <c r="D89" s="6"/>
      <c r="E89" s="8"/>
    </row>
    <row r="90" spans="1:5" ht="102">
      <c r="A90" s="5" t="str">
        <f ca="1">IFERROR(__xludf.DUMMYFUNCTION("""COMPUTED_VALUE"""),"Монтажная коробка ""МК+Видео Гранд"", IP66/67 Белая, исп.02")</f>
        <v>Монтажная коробка "МК+Видео Гранд", IP66/67 Белая, исп.02</v>
      </c>
      <c r="B90" s="6" t="str">
        <f ca="1">IFERROR(__xludf.DUMMYFUNCTION("""COMPUTED_VALUE"""),"с внешним креплением через 4 -ре ""проушины"",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0" s="9">
        <f ca="1">IFERROR(__xludf.DUMMYFUNCTION("""COMPUTED_VALUE"""),968)</f>
        <v>968</v>
      </c>
      <c r="D90" s="6"/>
      <c r="E90" s="8"/>
    </row>
    <row r="91" spans="1:5" ht="76.5">
      <c r="A91" s="5" t="str">
        <f ca="1">IFERROR(__xludf.DUMMYFUNCTION("""COMPUTED_VALUE"""),"Монтажная коробка ""МК+Видео Гранд"", IP66/67 Черная, исп.02")</f>
        <v>Монтажная коробка "МК+Видео Гранд", IP66/67 Черная, исп.02</v>
      </c>
      <c r="B91" s="6" t="str">
        <f ca="1">IFERROR(__xludf.DUMMYFUNCTION("""COMPUTED_VALUE"""),"с внешним креплением через 4-ре ""проушины"",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4-ре "проушины", IP66/67, усиленная, предназначена для наружной установки крупногабаритных камер видеонаблюдения, накладная. 180х180х97, материал пластик</v>
      </c>
      <c r="C91" s="9">
        <f ca="1">IFERROR(__xludf.DUMMYFUNCTION("""COMPUTED_VALUE"""),968)</f>
        <v>968</v>
      </c>
      <c r="D91" s="6"/>
      <c r="E91" s="8"/>
    </row>
    <row r="92" spans="1:5" ht="114.75">
      <c r="A92" s="5" t="str">
        <f ca="1">IFERROR(__xludf.DUMMYFUNCTION("""COMPUTED_VALUE"""),"Монтажная коробка ""МК+Видео Гранд"", IP66/67 Белая, исп.03")</f>
        <v>Монтажная коробка "МК+Видео Гранд", IP66/67 Белая, исп.03</v>
      </c>
      <c r="B92" s="6" t="str">
        <f ca="1">IFERROR(__xludf.DUMMYFUNCTION("""COMPUTED_VALUE"""),"с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пит"&amp;"ания и АКБ 12В 7А/ч, материал пластик")</f>
        <v>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2" s="9">
        <f ca="1">IFERROR(__xludf.DUMMYFUNCTION("""COMPUTED_VALUE"""),1030)</f>
        <v>1030</v>
      </c>
      <c r="D92" s="6"/>
      <c r="E92" s="8"/>
    </row>
    <row r="93" spans="1:5" ht="114.75">
      <c r="A93" s="5" t="str">
        <f ca="1">IFERROR(__xludf.DUMMYFUNCTION("""COMPUTED_VALUE"""),"Монтажная коробка ""МК+Видео Гранд"", IP66/67 Черная, исп.03")</f>
        <v>Монтажная коробка "МК+Видео Гранд", IP66/67 Черная, исп.03</v>
      </c>
      <c r="B93" s="6" t="str">
        <f ca="1">IFERROR(__xludf.DUMMYFUNCTION("""COMPUTED_VALUE"""),"с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пит"&amp;"ания и АКБ 12В 7А/ч, материал пластик")</f>
        <v>с 2-мя гермовводом ПКВ20х1,5 и двумя отверстиями с тыльной стороны для подключении кабеля Ø 6-14 мм,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3" s="9">
        <f ca="1">IFERROR(__xludf.DUMMYFUNCTION("""COMPUTED_VALUE"""),1030)</f>
        <v>1030</v>
      </c>
      <c r="D93" s="6"/>
      <c r="E93" s="8"/>
    </row>
    <row r="94" spans="1:5" ht="89.25">
      <c r="A94" s="5" t="str">
        <f ca="1">IFERROR(__xludf.DUMMYFUNCTION("""COMPUTED_VALUE"""),"Монтажная коробка ""МК+Видео Гранд"", IP66/67 белая, исп.04")</f>
        <v>Монтажная коробка "МК+Видео Гранд", IP66/67 белая, исп.04</v>
      </c>
      <c r="B94" s="6" t="str">
        <f ca="1">IFERROR(__xludf.DUMMYFUNCTION("""COMPUTED_VALUE"""),"С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f>
        <v>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v>
      </c>
      <c r="C94" s="9">
        <f ca="1">IFERROR(__xludf.DUMMYFUNCTION("""COMPUTED_VALUE"""),1078)</f>
        <v>1078</v>
      </c>
      <c r="D94" s="6"/>
      <c r="E94" s="8"/>
    </row>
    <row r="95" spans="1:5" ht="89.25">
      <c r="A95" s="5" t="str">
        <f ca="1">IFERROR(__xludf.DUMMYFUNCTION("""COMPUTED_VALUE"""),"Монтажная коробка ""МК+Видео Гранд"", IP66/67 Черная, исп.04")</f>
        <v>Монтажная коробка "МК+Видео Гранд", IP66/67 Черная, исп.04</v>
      </c>
      <c r="B95" s="6" t="str">
        <f ca="1">IFERROR(__xludf.DUMMYFUNCTION("""COMPUTED_VALUE"""),"С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f>
        <v>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материал пластик</v>
      </c>
      <c r="C95" s="9">
        <f ca="1">IFERROR(__xludf.DUMMYFUNCTION("""COMPUTED_VALUE"""),1078)</f>
        <v>1078</v>
      </c>
      <c r="D95" s="6"/>
      <c r="E95" s="8"/>
    </row>
    <row r="96" spans="1:5" ht="89.25">
      <c r="A96" s="5" t="str">
        <f ca="1">IFERROR(__xludf.DUMMYFUNCTION("""COMPUTED_VALUE"""),"Монтажная коробка ""МК+Видео Гранд"", IP66/67 Белая, исп.05")</f>
        <v>Монтажная коробка "МК+Видео Гранд", IP66/67 Белая, исп.05</v>
      </c>
      <c r="B96" s="6" t="str">
        <f ca="1">IFERROR(__xludf.DUMMYFUNCTION("""COMPUTED_VALUE"""),"С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v>
      </c>
      <c r="C96" s="9">
        <f ca="1">IFERROR(__xludf.DUMMYFUNCTION("""COMPUTED_VALUE"""),1034)</f>
        <v>1034</v>
      </c>
      <c r="D96" s="6"/>
      <c r="E96" s="8"/>
    </row>
    <row r="97" spans="1:5" ht="89.25">
      <c r="A97" s="5" t="str">
        <f ca="1">IFERROR(__xludf.DUMMYFUNCTION("""COMPUTED_VALUE"""),"Монтажная коробка ""МК+Видео Гранд"", IP66/67 Черная, исп.05")</f>
        <v>Монтажная коробка "МК+Видео Гранд", IP66/67 Черная, исп.05</v>
      </c>
      <c r="B97" s="6" t="str">
        <f ca="1">IFERROR(__xludf.DUMMYFUNCTION("""COMPUTED_VALUE"""),"С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f>
        <v>С внешним креплением через 4 -ре "проушины" и штатным отверстием Ø 30 мм в крышке, IP66/67, усиленная, предназначена для наружной установки крупногабаритных камер видеонаблюдения, накладная. 180х180х97, материал пластик</v>
      </c>
      <c r="C97" s="9">
        <f ca="1">IFERROR(__xludf.DUMMYFUNCTION("""COMPUTED_VALUE"""),1034)</f>
        <v>1034</v>
      </c>
      <c r="D97" s="6"/>
      <c r="E97" s="8"/>
    </row>
    <row r="98" spans="1:5" ht="153">
      <c r="A98" s="5" t="str">
        <f ca="1">IFERROR(__xludf.DUMMYFUNCTION("""COMPUTED_VALUE"""),"Монтажная коробка ""МК+Видео Гранд"", IP66/67 Белая, исп.06")</f>
        <v>Монтажная коробка "МК+Видео Гранд", IP66/67 Белая, исп.06</v>
      </c>
      <c r="B98"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крупногабарит"&amp;"ных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8" s="9">
        <f ca="1">IFERROR(__xludf.DUMMYFUNCTION("""COMPUTED_VALUE"""),1210)</f>
        <v>1210</v>
      </c>
      <c r="D98" s="6"/>
      <c r="E98" s="8"/>
    </row>
    <row r="99" spans="1:5" ht="153">
      <c r="A99" s="5" t="str">
        <f ca="1">IFERROR(__xludf.DUMMYFUNCTION("""COMPUTED_VALUE"""),"Монтажная коробка ""МК+Видео Гранд"", IP66/67 черная, исп.06")</f>
        <v>Монтажная коробка "МК+Видео Гранд", IP66/67 черная, исп.06</v>
      </c>
      <c r="B99"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крупногабарит"&amp;"ных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99" s="9">
        <f ca="1">IFERROR(__xludf.DUMMYFUNCTION("""COMPUTED_VALUE"""),1210)</f>
        <v>1210</v>
      </c>
      <c r="D99" s="6"/>
      <c r="E99" s="8"/>
    </row>
    <row r="100" spans="1:5" ht="178.5">
      <c r="A100" s="5" t="str">
        <f ca="1">IFERROR(__xludf.DUMMYFUNCTION("""COMPUTED_VALUE"""),"Монтажная коробка ""МК+Видео Гранд"", IP66/67 Белая, исп.07")</f>
        <v>Монтажная коробка "МК+Видео Гранд", IP66/67 Белая, исп.07</v>
      </c>
      <c r="B100"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прилега"&amp;"ния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0" s="9">
        <f ca="1">IFERROR(__xludf.DUMMYFUNCTION("""COMPUTED_VALUE"""),1430)</f>
        <v>1430</v>
      </c>
      <c r="D100" s="6"/>
      <c r="E100" s="8"/>
    </row>
    <row r="101" spans="1:5" ht="178.5">
      <c r="A101" s="5" t="str">
        <f ca="1">IFERROR(__xludf.DUMMYFUNCTION("""COMPUTED_VALUE"""),"Монтажная коробка ""МК+Видео Гранд"", IP66/67 черная, исп.07")</f>
        <v>Монтажная коробка "МК+Видео Гранд", IP66/67 черная, исп.07</v>
      </c>
      <c r="B101" s="6" t="str">
        <f ca="1">IFERROR(__xludf.DUMMYFUNCTION("""COMPUTED_VALUE"""),"С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прилега"&amp;"ния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f>
        <v>С внешним креплением через 4 -ре "проушины" и штатным отверстием Ø 30 мм в крышке, с 2-мя гермовводом ПКВ20х1,5 и двумя отверстиями с тыльной стороны для подключении кабеля Ø 6-14 мм, С комплектом крепежа и впресованными бонками М5 для надежного прилегания крышки, IP66/67, усиленная, предназначена для наружной установки крупногабаритных камер видеонаблюдения, накладная. 180х180х97, с возможностью установки платы питания и АКБ 12В 7А/ч, материал пластик</v>
      </c>
      <c r="C101" s="9">
        <f ca="1">IFERROR(__xludf.DUMMYFUNCTION("""COMPUTED_VALUE"""),1430)</f>
        <v>1430</v>
      </c>
      <c r="D101" s="6"/>
      <c r="E101" s="8"/>
    </row>
    <row r="102" spans="1:5" ht="25.5">
      <c r="A102" s="5" t="str">
        <f ca="1">IFERROR(__xludf.DUMMYFUNCTION("""COMPUTED_VALUE"""),"Аккумуляторная батарея КТ 12-1.2")</f>
        <v>Аккумуляторная батарея КТ 12-1.2</v>
      </c>
      <c r="B102" s="6" t="str">
        <f ca="1">IFERROR(__xludf.DUMMYFUNCTION("""COMPUTED_VALUE"""),"12В 1.2А/ч")</f>
        <v>12В 1.2А/ч</v>
      </c>
      <c r="C102" s="9" t="str">
        <f ca="1">IFERROR(__xludf.DUMMYFUNCTION("""COMPUTED_VALUE"""),"по запросу")</f>
        <v>по запросу</v>
      </c>
      <c r="D102" s="6"/>
      <c r="E102" s="8"/>
    </row>
    <row r="103" spans="1:5" ht="25.5">
      <c r="A103" s="5" t="str">
        <f ca="1">IFERROR(__xludf.DUMMYFUNCTION("""COMPUTED_VALUE"""),"Аккумуляторная батарея КТ 12-2.2")</f>
        <v>Аккумуляторная батарея КТ 12-2.2</v>
      </c>
      <c r="B103" s="6" t="str">
        <f ca="1">IFERROR(__xludf.DUMMYFUNCTION("""COMPUTED_VALUE"""),"12В 2.2А/ч")</f>
        <v>12В 2.2А/ч</v>
      </c>
      <c r="C103" s="9" t="str">
        <f ca="1">IFERROR(__xludf.DUMMYFUNCTION("""COMPUTED_VALUE"""),"по запросу")</f>
        <v>по запросу</v>
      </c>
      <c r="D103" s="6"/>
      <c r="E103" s="8"/>
    </row>
    <row r="104" spans="1:5" ht="25.5">
      <c r="A104" s="5" t="str">
        <f ca="1">IFERROR(__xludf.DUMMYFUNCTION("""COMPUTED_VALUE"""),"Аккумуляторная батарея КТ 12-4.5")</f>
        <v>Аккумуляторная батарея КТ 12-4.5</v>
      </c>
      <c r="B104" s="6" t="str">
        <f ca="1">IFERROR(__xludf.DUMMYFUNCTION("""COMPUTED_VALUE"""),"12В 4.5А/ч")</f>
        <v>12В 4.5А/ч</v>
      </c>
      <c r="C104" s="9" t="str">
        <f ca="1">IFERROR(__xludf.DUMMYFUNCTION("""COMPUTED_VALUE"""),"по запросу")</f>
        <v>по запросу</v>
      </c>
      <c r="D104" s="6"/>
      <c r="E104" s="8"/>
    </row>
    <row r="105" spans="1:5" ht="25.5">
      <c r="A105" s="5" t="str">
        <f ca="1">IFERROR(__xludf.DUMMYFUNCTION("""COMPUTED_VALUE"""),"Аккумуляторная батарея КТ 12-7.2")</f>
        <v>Аккумуляторная батарея КТ 12-7.2</v>
      </c>
      <c r="B105" s="6" t="str">
        <f ca="1">IFERROR(__xludf.DUMMYFUNCTION("""COMPUTED_VALUE"""),"12В 7А/ч")</f>
        <v>12В 7А/ч</v>
      </c>
      <c r="C105" s="9" t="str">
        <f ca="1">IFERROR(__xludf.DUMMYFUNCTION("""COMPUTED_VALUE"""),"по запросу")</f>
        <v>по запросу</v>
      </c>
      <c r="D105" s="6"/>
      <c r="E105" s="8"/>
    </row>
    <row r="106" spans="1:5" ht="25.5">
      <c r="A106" s="5" t="str">
        <f ca="1">IFERROR(__xludf.DUMMYFUNCTION("""COMPUTED_VALUE"""),"Аккумуляторная батарея КТ 12-12")</f>
        <v>Аккумуляторная батарея КТ 12-12</v>
      </c>
      <c r="B106" s="6" t="str">
        <f ca="1">IFERROR(__xludf.DUMMYFUNCTION("""COMPUTED_VALUE"""),"12В 12А/ч")</f>
        <v>12В 12А/ч</v>
      </c>
      <c r="C106" s="9" t="str">
        <f ca="1">IFERROR(__xludf.DUMMYFUNCTION("""COMPUTED_VALUE"""),"по запросу")</f>
        <v>по запросу</v>
      </c>
      <c r="D106" s="6"/>
      <c r="E106" s="8"/>
    </row>
    <row r="107" spans="1:5" ht="25.5">
      <c r="A107" s="5" t="str">
        <f ca="1">IFERROR(__xludf.DUMMYFUNCTION("""COMPUTED_VALUE"""),"Аккумуляторная батарея КТ 12-17")</f>
        <v>Аккумуляторная батарея КТ 12-17</v>
      </c>
      <c r="B107" s="6" t="str">
        <f ca="1">IFERROR(__xludf.DUMMYFUNCTION("""COMPUTED_VALUE"""),"12В 17А/ч")</f>
        <v>12В 17А/ч</v>
      </c>
      <c r="C107" s="9" t="str">
        <f ca="1">IFERROR(__xludf.DUMMYFUNCTION("""COMPUTED_VALUE"""),"по запросу")</f>
        <v>по запросу</v>
      </c>
      <c r="D107" s="6"/>
      <c r="E107" s="8"/>
    </row>
    <row r="108" spans="1:5" ht="25.5">
      <c r="A108" s="5" t="str">
        <f ca="1">IFERROR(__xludf.DUMMYFUNCTION("""COMPUTED_VALUE"""),"Аккумуляторная батарея КТ 12-40")</f>
        <v>Аккумуляторная батарея КТ 12-40</v>
      </c>
      <c r="B108" s="6" t="str">
        <f ca="1">IFERROR(__xludf.DUMMYFUNCTION("""COMPUTED_VALUE"""),"12В 40А/ч")</f>
        <v>12В 40А/ч</v>
      </c>
      <c r="C108" s="9" t="str">
        <f ca="1">IFERROR(__xludf.DUMMYFUNCTION("""COMPUTED_VALUE"""),"по запросу")</f>
        <v>по запросу</v>
      </c>
      <c r="D108" s="6"/>
      <c r="E108" s="8"/>
    </row>
    <row r="109" spans="1:5" ht="25.5">
      <c r="A109" s="5" t="str">
        <f ca="1">IFERROR(__xludf.DUMMYFUNCTION("""COMPUTED_VALUE"""),"Аккумуляторная батарея КТ 4-4")</f>
        <v>Аккумуляторная батарея КТ 4-4</v>
      </c>
      <c r="B109" s="6" t="str">
        <f ca="1">IFERROR(__xludf.DUMMYFUNCTION("""COMPUTED_VALUE"""),"4В 4А/ч")</f>
        <v>4В 4А/ч</v>
      </c>
      <c r="C109" s="9" t="str">
        <f ca="1">IFERROR(__xludf.DUMMYFUNCTION("""COMPUTED_VALUE"""),"по запросу")</f>
        <v>по запросу</v>
      </c>
      <c r="D109" s="6"/>
      <c r="E109" s="8"/>
    </row>
    <row r="110" spans="1:5" ht="25.5">
      <c r="A110" s="5" t="str">
        <f ca="1">IFERROR(__xludf.DUMMYFUNCTION("""COMPUTED_VALUE"""),"Аккумуляторная батарея КТ 6-1.2")</f>
        <v>Аккумуляторная батарея КТ 6-1.2</v>
      </c>
      <c r="B110" s="6" t="str">
        <f ca="1">IFERROR(__xludf.DUMMYFUNCTION("""COMPUTED_VALUE"""),"6В 1.2А/ч")</f>
        <v>6В 1.2А/ч</v>
      </c>
      <c r="C110" s="9" t="str">
        <f ca="1">IFERROR(__xludf.DUMMYFUNCTION("""COMPUTED_VALUE"""),"по запросу")</f>
        <v>по запросу</v>
      </c>
      <c r="D110" s="6"/>
      <c r="E110" s="8"/>
    </row>
    <row r="111" spans="1:5" ht="25.5">
      <c r="A111" s="5" t="str">
        <f ca="1">IFERROR(__xludf.DUMMYFUNCTION("""COMPUTED_VALUE"""),"Аккумуляторная батарея КТ 6-4.5")</f>
        <v>Аккумуляторная батарея КТ 6-4.5</v>
      </c>
      <c r="B111" s="6" t="str">
        <f ca="1">IFERROR(__xludf.DUMMYFUNCTION("""COMPUTED_VALUE"""),"6В 4.5А/ч")</f>
        <v>6В 4.5А/ч</v>
      </c>
      <c r="C111" s="9" t="str">
        <f ca="1">IFERROR(__xludf.DUMMYFUNCTION("""COMPUTED_VALUE"""),"по запросу")</f>
        <v>по запросу</v>
      </c>
      <c r="D111" s="6"/>
      <c r="E111" s="8"/>
    </row>
    <row r="112" spans="1:5" ht="25.5">
      <c r="A112" s="5" t="str">
        <f ca="1">IFERROR(__xludf.DUMMYFUNCTION("""COMPUTED_VALUE"""),"Аккумуляторная батарея КТ 6-7")</f>
        <v>Аккумуляторная батарея КТ 6-7</v>
      </c>
      <c r="B112" s="6" t="str">
        <f ca="1">IFERROR(__xludf.DUMMYFUNCTION("""COMPUTED_VALUE"""),"6В 7А/ч")</f>
        <v>6В 7А/ч</v>
      </c>
      <c r="C112" s="9" t="str">
        <f ca="1">IFERROR(__xludf.DUMMYFUNCTION("""COMPUTED_VALUE"""),"по запросу")</f>
        <v>по запросу</v>
      </c>
      <c r="D112" s="6"/>
      <c r="E112" s="8"/>
    </row>
    <row r="113" spans="1:5" ht="25.5">
      <c r="A113" s="5" t="str">
        <f ca="1">IFERROR(__xludf.DUMMYFUNCTION("""COMPUTED_VALUE"""),"Аккумуляторная батарея КТ 6-12")</f>
        <v>Аккумуляторная батарея КТ 6-12</v>
      </c>
      <c r="B113" s="6" t="str">
        <f ca="1">IFERROR(__xludf.DUMMYFUNCTION("""COMPUTED_VALUE"""),"6В 12А/ч")</f>
        <v>6В 12А/ч</v>
      </c>
      <c r="C113" s="9" t="str">
        <f ca="1">IFERROR(__xludf.DUMMYFUNCTION("""COMPUTED_VALUE"""),"по запросу")</f>
        <v>по запросу</v>
      </c>
      <c r="D113" s="6"/>
      <c r="E113" s="8"/>
    </row>
    <row r="114" spans="1:5" ht="25.5">
      <c r="A114" s="5" t="str">
        <f ca="1">IFERROR(__xludf.DUMMYFUNCTION("""COMPUTED_VALUE"""),"Аккумулятор ETALON FS 12012")</f>
        <v>Аккумулятор ETALON FS 12012</v>
      </c>
      <c r="B114" s="6" t="str">
        <f ca="1">IFERROR(__xludf.DUMMYFUNCTION("""COMPUTED_VALUE"""),"12В 1.2А/ч")</f>
        <v>12В 1.2А/ч</v>
      </c>
      <c r="C114" s="9" t="str">
        <f ca="1">IFERROR(__xludf.DUMMYFUNCTION("""COMPUTED_VALUE"""),"по запросу")</f>
        <v>по запросу</v>
      </c>
      <c r="D114" s="6"/>
      <c r="E114" s="8"/>
    </row>
    <row r="115" spans="1:5" ht="25.5">
      <c r="A115" s="5" t="str">
        <f ca="1">IFERROR(__xludf.DUMMYFUNCTION("""COMPUTED_VALUE"""),"Аккумулятор ETALON FS 12022")</f>
        <v>Аккумулятор ETALON FS 12022</v>
      </c>
      <c r="B115" s="6" t="str">
        <f ca="1">IFERROR(__xludf.DUMMYFUNCTION("""COMPUTED_VALUE"""),"12В 2.2А/ч")</f>
        <v>12В 2.2А/ч</v>
      </c>
      <c r="C115" s="9" t="str">
        <f ca="1">IFERROR(__xludf.DUMMYFUNCTION("""COMPUTED_VALUE"""),"по запросу")</f>
        <v>по запросу</v>
      </c>
      <c r="D115" s="6"/>
      <c r="E115" s="8"/>
    </row>
    <row r="116" spans="1:5" ht="25.5">
      <c r="A116" s="5" t="str">
        <f ca="1">IFERROR(__xludf.DUMMYFUNCTION("""COMPUTED_VALUE"""),"Аккумулятор ETALON FS 12045")</f>
        <v>Аккумулятор ETALON FS 12045</v>
      </c>
      <c r="B116" s="6" t="str">
        <f ca="1">IFERROR(__xludf.DUMMYFUNCTION("""COMPUTED_VALUE"""),"12В 4.5А/ч")</f>
        <v>12В 4.5А/ч</v>
      </c>
      <c r="C116" s="9" t="str">
        <f ca="1">IFERROR(__xludf.DUMMYFUNCTION("""COMPUTED_VALUE"""),"по запросу")</f>
        <v>по запросу</v>
      </c>
      <c r="D116" s="6"/>
      <c r="E116" s="8"/>
    </row>
    <row r="117" spans="1:5" ht="25.5">
      <c r="A117" s="5" t="str">
        <f ca="1">IFERROR(__xludf.DUMMYFUNCTION("""COMPUTED_VALUE"""),"Аккумулятор ETALON FS 1207")</f>
        <v>Аккумулятор ETALON FS 1207</v>
      </c>
      <c r="B117" s="6" t="str">
        <f ca="1">IFERROR(__xludf.DUMMYFUNCTION("""COMPUTED_VALUE"""),"12В 7А/ч")</f>
        <v>12В 7А/ч</v>
      </c>
      <c r="C117" s="9" t="str">
        <f ca="1">IFERROR(__xludf.DUMMYFUNCTION("""COMPUTED_VALUE"""),"по запросу")</f>
        <v>по запросу</v>
      </c>
      <c r="D117" s="6"/>
      <c r="E117" s="8"/>
    </row>
    <row r="118" spans="1:5" ht="25.5">
      <c r="A118" s="5" t="str">
        <f ca="1">IFERROR(__xludf.DUMMYFUNCTION("""COMPUTED_VALUE"""),"Аккумулятор ETALON FS 1207 +")</f>
        <v>Аккумулятор ETALON FS 1207 +</v>
      </c>
      <c r="B118" s="6" t="str">
        <f ca="1">IFERROR(__xludf.DUMMYFUNCTION("""COMPUTED_VALUE"""),"12В 7А/ч,  улучшенные характеристики")</f>
        <v>12В 7А/ч,  улучшенные характеристики</v>
      </c>
      <c r="C118" s="9" t="str">
        <f ca="1">IFERROR(__xludf.DUMMYFUNCTION("""COMPUTED_VALUE"""),"по запросу")</f>
        <v>по запросу</v>
      </c>
      <c r="D118" s="6"/>
      <c r="E118" s="8"/>
    </row>
    <row r="119" spans="1:5" ht="25.5">
      <c r="A119" s="5" t="str">
        <f ca="1">IFERROR(__xludf.DUMMYFUNCTION("""COMPUTED_VALUE"""),"Аккумулятор ETALON FS 1212")</f>
        <v>Аккумулятор ETALON FS 1212</v>
      </c>
      <c r="B119" s="6" t="str">
        <f ca="1">IFERROR(__xludf.DUMMYFUNCTION("""COMPUTED_VALUE"""),"12В 12А/ч")</f>
        <v>12В 12А/ч</v>
      </c>
      <c r="C119" s="9" t="str">
        <f ca="1">IFERROR(__xludf.DUMMYFUNCTION("""COMPUTED_VALUE"""),"по запросу")</f>
        <v>по запросу</v>
      </c>
      <c r="D119" s="6"/>
      <c r="E119" s="8"/>
    </row>
    <row r="120" spans="1:5" ht="25.5">
      <c r="A120" s="5" t="str">
        <f ca="1">IFERROR(__xludf.DUMMYFUNCTION("""COMPUTED_VALUE"""),"Аккумулятор ETALON FS 1217")</f>
        <v>Аккумулятор ETALON FS 1217</v>
      </c>
      <c r="B120" s="6" t="str">
        <f ca="1">IFERROR(__xludf.DUMMYFUNCTION("""COMPUTED_VALUE"""),"12В 17А/ч")</f>
        <v>12В 17А/ч</v>
      </c>
      <c r="C120" s="9" t="str">
        <f ca="1">IFERROR(__xludf.DUMMYFUNCTION("""COMPUTED_VALUE"""),"по запросу")</f>
        <v>по запросу</v>
      </c>
      <c r="D120" s="6"/>
      <c r="E120" s="8"/>
    </row>
    <row r="121" spans="1:5" ht="25.5">
      <c r="A121" s="5" t="str">
        <f ca="1">IFERROR(__xludf.DUMMYFUNCTION("""COMPUTED_VALUE"""),"Аккумулятор ETALON FS 1226")</f>
        <v>Аккумулятор ETALON FS 1226</v>
      </c>
      <c r="B121" s="6" t="str">
        <f ca="1">IFERROR(__xludf.DUMMYFUNCTION("""COMPUTED_VALUE"""),"12В 26А/ч")</f>
        <v>12В 26А/ч</v>
      </c>
      <c r="C121" s="9" t="str">
        <f ca="1">IFERROR(__xludf.DUMMYFUNCTION("""COMPUTED_VALUE"""),"по запросу")</f>
        <v>по запросу</v>
      </c>
      <c r="D121" s="6"/>
      <c r="E121" s="8"/>
    </row>
    <row r="122" spans="1:5" ht="25.5">
      <c r="A122" s="5" t="str">
        <f ca="1">IFERROR(__xludf.DUMMYFUNCTION("""COMPUTED_VALUE"""),"Аккумулятор ETALON FORS 12012")</f>
        <v>Аккумулятор ETALON FORS 12012</v>
      </c>
      <c r="B122" s="6" t="str">
        <f ca="1">IFERROR(__xludf.DUMMYFUNCTION("""COMPUTED_VALUE"""),"12В 1.2А/ч, премиум-класс")</f>
        <v>12В 1.2А/ч, премиум-класс</v>
      </c>
      <c r="C122" s="9" t="str">
        <f ca="1">IFERROR(__xludf.DUMMYFUNCTION("""COMPUTED_VALUE"""),"по запросу")</f>
        <v>по запросу</v>
      </c>
      <c r="D122" s="6"/>
      <c r="E122" s="8"/>
    </row>
    <row r="123" spans="1:5" ht="25.5">
      <c r="A123" s="5" t="str">
        <f ca="1">IFERROR(__xludf.DUMMYFUNCTION("""COMPUTED_VALUE"""),"Аккумулятор ETALON FORS 12022")</f>
        <v>Аккумулятор ETALON FORS 12022</v>
      </c>
      <c r="B123" s="6" t="str">
        <f ca="1">IFERROR(__xludf.DUMMYFUNCTION("""COMPUTED_VALUE"""),"12В 2.2А/ч, премиум-класс")</f>
        <v>12В 2.2А/ч, премиум-класс</v>
      </c>
      <c r="C123" s="9" t="str">
        <f ca="1">IFERROR(__xludf.DUMMYFUNCTION("""COMPUTED_VALUE"""),"по запросу")</f>
        <v>по запросу</v>
      </c>
      <c r="D123" s="6"/>
      <c r="E123" s="8"/>
    </row>
    <row r="124" spans="1:5" ht="25.5">
      <c r="A124" s="5" t="str">
        <f ca="1">IFERROR(__xludf.DUMMYFUNCTION("""COMPUTED_VALUE"""),"Аккумулятор ETALON FORS 12045")</f>
        <v>Аккумулятор ETALON FORS 12045</v>
      </c>
      <c r="B124" s="6" t="str">
        <f ca="1">IFERROR(__xludf.DUMMYFUNCTION("""COMPUTED_VALUE"""),"12В 4.5А/ч, премиум-класс")</f>
        <v>12В 4.5А/ч, премиум-класс</v>
      </c>
      <c r="C124" s="9" t="str">
        <f ca="1">IFERROR(__xludf.DUMMYFUNCTION("""COMPUTED_VALUE"""),"по запросу")</f>
        <v>по запросу</v>
      </c>
      <c r="D124" s="6"/>
      <c r="E124" s="8"/>
    </row>
    <row r="125" spans="1:5" ht="25.5">
      <c r="A125" s="5" t="str">
        <f ca="1">IFERROR(__xludf.DUMMYFUNCTION("""COMPUTED_VALUE"""),"Аккумулятор ETALON FORS 1207")</f>
        <v>Аккумулятор ETALON FORS 1207</v>
      </c>
      <c r="B125" s="6" t="str">
        <f ca="1">IFERROR(__xludf.DUMMYFUNCTION("""COMPUTED_VALUE"""),"12В 7А/ч, премиум-класс")</f>
        <v>12В 7А/ч, премиум-класс</v>
      </c>
      <c r="C125" s="9" t="str">
        <f ca="1">IFERROR(__xludf.DUMMYFUNCTION("""COMPUTED_VALUE"""),"по запросу")</f>
        <v>по запросу</v>
      </c>
      <c r="D125" s="6"/>
      <c r="E125" s="8"/>
    </row>
    <row r="126" spans="1:5" ht="25.5">
      <c r="A126" s="5" t="str">
        <f ca="1">IFERROR(__xludf.DUMMYFUNCTION("""COMPUTED_VALUE"""),"Аккумулятор ETALON FORS 1212")</f>
        <v>Аккумулятор ETALON FORS 1212</v>
      </c>
      <c r="B126" s="6" t="str">
        <f ca="1">IFERROR(__xludf.DUMMYFUNCTION("""COMPUTED_VALUE"""),"12В 12А/ч, премиум-класс")</f>
        <v>12В 12А/ч, премиум-класс</v>
      </c>
      <c r="C126" s="9" t="str">
        <f ca="1">IFERROR(__xludf.DUMMYFUNCTION("""COMPUTED_VALUE"""),"по запросу")</f>
        <v>по запросу</v>
      </c>
      <c r="D126" s="6"/>
      <c r="E126" s="8"/>
    </row>
    <row r="127" spans="1:5" ht="25.5">
      <c r="A127" s="5" t="str">
        <f ca="1">IFERROR(__xludf.DUMMYFUNCTION("""COMPUTED_VALUE"""),"Аккумулятор ETALON FORS 1218")</f>
        <v>Аккумулятор ETALON FORS 1218</v>
      </c>
      <c r="B127" s="6" t="str">
        <f ca="1">IFERROR(__xludf.DUMMYFUNCTION("""COMPUTED_VALUE"""),"12В 18А/ч, премиум-класс")</f>
        <v>12В 18А/ч, премиум-класс</v>
      </c>
      <c r="C127" s="9" t="str">
        <f ca="1">IFERROR(__xludf.DUMMYFUNCTION("""COMPUTED_VALUE"""),"по запросу")</f>
        <v>по запросу</v>
      </c>
      <c r="D127" s="6"/>
      <c r="E127" s="8"/>
    </row>
    <row r="128" spans="1:5" ht="25.5">
      <c r="A128" s="5" t="str">
        <f ca="1">IFERROR(__xludf.DUMMYFUNCTION("""COMPUTED_VALUE"""),"Аккумулятор ETALON FORS 1226")</f>
        <v>Аккумулятор ETALON FORS 1226</v>
      </c>
      <c r="B128" s="6" t="str">
        <f ca="1">IFERROR(__xludf.DUMMYFUNCTION("""COMPUTED_VALUE"""),"12В 26А/ч, премиум-класс")</f>
        <v>12В 26А/ч, премиум-класс</v>
      </c>
      <c r="C128" s="9" t="str">
        <f ca="1">IFERROR(__xludf.DUMMYFUNCTION("""COMPUTED_VALUE"""),"по запросу")</f>
        <v>по запросу</v>
      </c>
      <c r="D128" s="6"/>
      <c r="E128" s="8"/>
    </row>
    <row r="129" spans="1:5" ht="51">
      <c r="A129" s="5" t="str">
        <f ca="1">IFERROR(__xludf.DUMMYFUNCTION("""COMPUTED_VALUE"""),"МКС «МОРОЗ» IP66/IP68 Глухая")</f>
        <v>МКС «МОРОЗ» IP66/IP68 Глухая</v>
      </c>
      <c r="B129" s="6" t="str">
        <f ca="1">IFERROR(__xludf.DUMMYFUNCTION("""COMPUTED_VALUE"""),"Корпус из алюминиевого сплава, 90х90х62мм.
Корпус может быть оборудован герметичными вводами МКВ (до 4-х шт) ")</f>
        <v xml:space="preserve">Корпус из алюминиевого сплава, 90х90х62мм.
Корпус может быть оборудован герметичными вводами МКВ (до 4-х шт) </v>
      </c>
      <c r="C129" s="9">
        <f ca="1">IFERROR(__xludf.DUMMYFUNCTION("""COMPUTED_VALUE"""),929.5)</f>
        <v>929.5</v>
      </c>
      <c r="D129" s="6"/>
      <c r="E129" s="8"/>
    </row>
    <row r="130" spans="1:5" ht="51">
      <c r="A130" s="5" t="str">
        <f ca="1">IFERROR(__xludf.DUMMYFUNCTION("""COMPUTED_VALUE"""),"МКС 1В «МОРОЗ» IP66/IP68 ")</f>
        <v xml:space="preserve">МКС 1В «МОРОЗ» IP66/IP68 </v>
      </c>
      <c r="B130" s="6" t="str">
        <f ca="1">IFERROR(__xludf.DUMMYFUNCTION("""COMPUTED_VALUE"""),"Корпус из алюминиевого сплава, 90х90х62мм.
1 кабельный ввод ПКВ20х1,5 (под кабель от 6 до 12 мм )")</f>
        <v>Корпус из алюминиевого сплава, 90х90х62мм.
1 кабельный ввод ПКВ20х1,5 (под кабель от 6 до 12 мм )</v>
      </c>
      <c r="C130" s="9">
        <f ca="1">IFERROR(__xludf.DUMMYFUNCTION("""COMPUTED_VALUE"""),1161.6)</f>
        <v>1161.5999999999999</v>
      </c>
      <c r="D130" s="6"/>
      <c r="E130" s="8"/>
    </row>
    <row r="131" spans="1:5" ht="51">
      <c r="A131" s="5" t="str">
        <f ca="1">IFERROR(__xludf.DUMMYFUNCTION("""COMPUTED_VALUE"""),"МКС 1В «МОРОЗ» IP66/IP68 с DIN-рейкой")</f>
        <v>МКС 1В «МОРОЗ» IP66/IP68 с DIN-рейкой</v>
      </c>
      <c r="B131" s="6" t="str">
        <f ca="1">IFERROR(__xludf.DUMMYFUNCTION("""COMPUTED_VALUE"""),"Корпус из алюминиевого сплава, 90х90х62мм.
1 кабельный ввод ПКВ20х1,5 (под кабель от 6 до 14 мм ), DIN-рейка")</f>
        <v>Корпус из алюминиевого сплава, 90х90х62мм.
1 кабельный ввод ПКВ20х1,5 (под кабель от 6 до 14 мм ), DIN-рейка</v>
      </c>
      <c r="C131" s="9">
        <f ca="1">IFERROR(__xludf.DUMMYFUNCTION("""COMPUTED_VALUE"""),1282.6)</f>
        <v>1282.5999999999999</v>
      </c>
      <c r="D131" s="6"/>
      <c r="E131" s="8"/>
    </row>
    <row r="132" spans="1:5" ht="51">
      <c r="A132" s="5" t="str">
        <f ca="1">IFERROR(__xludf.DUMMYFUNCTION("""COMPUTED_VALUE"""),"МКС 2В «МОРОЗ» IP66/IP68 ")</f>
        <v xml:space="preserve">МКС 2В «МОРОЗ» IP66/IP68 </v>
      </c>
      <c r="B132" s="6" t="str">
        <f ca="1">IFERROR(__xludf.DUMMYFUNCTION("""COMPUTED_VALUE"""),"Корпус из алюминиевого сплава, 90х90х62мм.
2 кабельных ввода ПКВ20х1,5 (под кабель от 6 до 12 мм )")</f>
        <v>Корпус из алюминиевого сплава, 90х90х62мм.
2 кабельных ввода ПКВ20х1,5 (под кабель от 6 до 12 мм )</v>
      </c>
      <c r="C132" s="9">
        <f ca="1">IFERROR(__xludf.DUMMYFUNCTION("""COMPUTED_VALUE"""),1393.7)</f>
        <v>1393.7</v>
      </c>
      <c r="D132" s="6"/>
      <c r="E132" s="8"/>
    </row>
    <row r="133" spans="1:5" ht="76.5">
      <c r="A133" s="5" t="str">
        <f ca="1">IFERROR(__xludf.DUMMYFUNCTION("""COMPUTED_VALUE"""),"МКС 2В «МОРОЗ» IP66/IP68,  с клеммниками REXANT")</f>
        <v>МКС 2В «МОРОЗ» IP66/IP68,  с клеммниками REXANT</v>
      </c>
      <c r="B133" s="6" t="str">
        <f ca="1">IFERROR(__xludf.DUMMYFUNCTION("""COMPUTED_VALUE"""),"Корпус из алюминиевого сплава, 90х90х62мм.
2 кабельных ввода ПКВ20х1,5 (под кабель от 6 до 14 мм ), до 6 проходных клемм с рычажком (под жилу 0,08-4 мм2)")</f>
        <v>Корпус из алюминиевого сплава, 90х90х62мм.
2 кабельных ввода ПКВ20х1,5 (под кабель от 6 до 14 мм ), до 6 проходных клемм с рычажком (под жилу 0,08-4 мм2)</v>
      </c>
      <c r="C133" s="9">
        <f ca="1">IFERROR(__xludf.DUMMYFUNCTION("""COMPUTED_VALUE"""),1817.2)</f>
        <v>1817.2</v>
      </c>
      <c r="D133" s="6"/>
      <c r="E133" s="8"/>
    </row>
    <row r="134" spans="1:5" ht="51">
      <c r="A134" s="5" t="str">
        <f ca="1">IFERROR(__xludf.DUMMYFUNCTION("""COMPUTED_VALUE"""),"МКС 3В «МОРОЗ» IP66/IP68 ")</f>
        <v xml:space="preserve">МКС 3В «МОРОЗ» IP66/IP68 </v>
      </c>
      <c r="B134" s="6" t="str">
        <f ca="1">IFERROR(__xludf.DUMMYFUNCTION("""COMPUTED_VALUE"""),"Корпус из алюминиевого сплава, 90х90х62мм.
3 кабельных ввода ПКВ20х1,5 (под кабель от 6 до 12 мм )")</f>
        <v>Корпус из алюминиевого сплава, 90х90х62мм.
3 кабельных ввода ПКВ20х1,5 (под кабель от 6 до 12 мм )</v>
      </c>
      <c r="C134" s="9">
        <f ca="1">IFERROR(__xludf.DUMMYFUNCTION("""COMPUTED_VALUE"""),1625.8)</f>
        <v>1625.8</v>
      </c>
      <c r="D134" s="6"/>
      <c r="E134" s="8"/>
    </row>
    <row r="135" spans="1:5" ht="51">
      <c r="A135" s="5" t="str">
        <f ca="1">IFERROR(__xludf.DUMMYFUNCTION("""COMPUTED_VALUE"""),"МКС 4В «МОРОЗ» IP66/IP68 ")</f>
        <v xml:space="preserve">МКС 4В «МОРОЗ» IP66/IP68 </v>
      </c>
      <c r="B135" s="6" t="str">
        <f ca="1">IFERROR(__xludf.DUMMYFUNCTION("""COMPUTED_VALUE"""),"Корпус из алюминиевого сплава, 90х90х62мм.
4 кабельных ввода ПКВ20х1,5 (под кабель от 6 до 12 мм)")</f>
        <v>Корпус из алюминиевого сплава, 90х90х62мм.
4 кабельных ввода ПКВ20х1,5 (под кабель от 6 до 12 мм)</v>
      </c>
      <c r="C135" s="9">
        <f ca="1">IFERROR(__xludf.DUMMYFUNCTION("""COMPUTED_VALUE"""),1859)</f>
        <v>1859</v>
      </c>
      <c r="D135" s="6"/>
      <c r="E135" s="8"/>
    </row>
    <row r="136" spans="1:5" ht="76.5">
      <c r="A136" s="5" t="str">
        <f ca="1">IFERROR(__xludf.DUMMYFUNCTION("""COMPUTED_VALUE"""),"МКС 2ВК «МОРОЗ» IP66/IP68 ")</f>
        <v xml:space="preserve">МКС 2ВК «МОРОЗ» IP66/IP68 </v>
      </c>
      <c r="B136" s="6" t="str">
        <f ca="1">IFERROR(__xludf.DUMMYFUNCTION("""COMPUTED_VALUE"""),"Корпус из алюминиевого сплава, 90х90х62мм.
Клеммная колодка РМ2 (400 А, 24 А, 2,5 мм.кв) 10 пар контактов.
2 кабельных ввода ПКВ20х1,5 (под кабель от 6 до 12 мм )")</f>
        <v>Корпус из алюминиевого сплава, 90х90х62мм.
Клеммная колодка РМ2 (400 А, 24 А, 2,5 мм.кв) 10 пар контактов.
2 кабельных ввода ПКВ20х1,5 (под кабель от 6 до 12 мм )</v>
      </c>
      <c r="C136" s="9">
        <f ca="1">IFERROR(__xludf.DUMMYFUNCTION("""COMPUTED_VALUE"""),1974.5)</f>
        <v>1974.5</v>
      </c>
      <c r="D136" s="6"/>
      <c r="E136" s="8"/>
    </row>
    <row r="137" spans="1:5" ht="102">
      <c r="A137" s="5" t="str">
        <f ca="1">IFERROR(__xludf.DUMMYFUNCTION("""COMPUTED_VALUE"""),"МКС 1МВ «МОРОЗ» IP66/IP68 ")</f>
        <v xml:space="preserve">МКС 1МВ «МОРОЗ» IP66/IP68 </v>
      </c>
      <c r="B137" s="6" t="str">
        <f ca="1">IFERROR(__xludf.DUMMYFUNCTION("""COMPUTED_VALUE"""),"Корпус из алюминиевого сплава, 90х90х62мм. 1 металлический кабельный ввод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1 металлический кабельный ввод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37" s="9">
        <f ca="1">IFERROR(__xludf.DUMMYFUNCTION("""COMPUTED_VALUE"""),1993.2)</f>
        <v>1993.2</v>
      </c>
      <c r="D137" s="6"/>
      <c r="E137" s="8"/>
    </row>
    <row r="138" spans="1:5" ht="102">
      <c r="A138" s="5" t="str">
        <f ca="1">IFERROR(__xludf.DUMMYFUNCTION("""COMPUTED_VALUE"""),"МКС 2МВ «МОРОЗ» IP66/IP68 ")</f>
        <v xml:space="preserve">МКС 2МВ «МОРОЗ» IP66/IP68 </v>
      </c>
      <c r="B138" s="6" t="str">
        <f ca="1">IFERROR(__xludf.DUMMYFUNCTION("""COMPUTED_VALUE"""),"Корпус из алюминиевого сплава, 90х90х62мм. 2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2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38" s="9">
        <f ca="1">IFERROR(__xludf.DUMMYFUNCTION("""COMPUTED_VALUE"""),2371.6)</f>
        <v>2371.6</v>
      </c>
      <c r="D138" s="6"/>
      <c r="E138" s="8"/>
    </row>
    <row r="139" spans="1:5" ht="102">
      <c r="A139" s="5" t="str">
        <f ca="1">IFERROR(__xludf.DUMMYFUNCTION("""COMPUTED_VALUE"""),"МКС 3МВ «МОРОЗ» IP66/IP68 ")</f>
        <v xml:space="preserve">МКС 3МВ «МОРОЗ» IP66/IP68 </v>
      </c>
      <c r="B139" s="6" t="str">
        <f ca="1">IFERROR(__xludf.DUMMYFUNCTION("""COMPUTED_VALUE"""),"Корпус из алюминиевого сплава, 90х90х62мм. 3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3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39" s="9">
        <f ca="1">IFERROR(__xludf.DUMMYFUNCTION("""COMPUTED_VALUE"""),2444.2)</f>
        <v>2444.1999999999998</v>
      </c>
      <c r="D139" s="6"/>
      <c r="E139" s="8"/>
    </row>
    <row r="140" spans="1:5" ht="102">
      <c r="A140" s="5" t="str">
        <f ca="1">IFERROR(__xludf.DUMMYFUNCTION("""COMPUTED_VALUE"""),"МКС 4МВ «МОРОЗ» IP66/IP68 ")</f>
        <v xml:space="preserve">МКС 4МВ «МОРОЗ» IP66/IP68 </v>
      </c>
      <c r="B140" s="6" t="str">
        <f ca="1">IFERROR(__xludf.DUMMYFUNCTION("""COMPUTED_VALUE"""),"Корпус из алюминиевого сплава, 90х90х62мм. 4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f>
        <v>Корпус из алюминиевого сплава, 90х90х62мм. 4 металлических кабельных ввода под кабель от 6 до 12 мм. По желанию заказчика может быть установлен кабельный ввод других диаметров и с другими видами штуцеров (под бронекабель, металлорукав, трубную проводку).</v>
      </c>
      <c r="C140" s="9">
        <f ca="1">IFERROR(__xludf.DUMMYFUNCTION("""COMPUTED_VALUE"""),2589.4)</f>
        <v>2589.4</v>
      </c>
      <c r="D140" s="6"/>
      <c r="E140" s="8"/>
    </row>
    <row r="141" spans="1:5" ht="63.75">
      <c r="A141" s="5" t="str">
        <f ca="1">IFERROR(__xludf.DUMMYFUNCTION("""COMPUTED_VALUE"""),"МКС 2МВК «МОРОЗ» IP66/IP68 ")</f>
        <v xml:space="preserve">МКС 2МВК «МОРОЗ» IP66/IP68 </v>
      </c>
      <c r="B141" s="6" t="str">
        <f ca="1">IFERROR(__xludf.DUMMYFUNCTION("""COMPUTED_VALUE"""),"Корпус из алюминиевого сплава, 90х90х62мм. 2 металлических кабельных ввода под кабель от 6 до 12 мм. Клеммная колодка РМ2 (400 А, 24 А, 2,5 мм.кв) 10 пар контактов.")</f>
        <v>Корпус из алюминиевого сплава, 90х90х62мм. 2 металлических кабельных ввода под кабель от 6 до 12 мм. Клеммная колодка РМ2 (400 А, 24 А, 2,5 мм.кв) 10 пар контактов.</v>
      </c>
      <c r="C141" s="9">
        <f ca="1">IFERROR(__xludf.DUMMYFUNCTION("""COMPUTED_VALUE"""),2490.4)</f>
        <v>2490.4</v>
      </c>
      <c r="D141" s="6"/>
      <c r="E141" s="8"/>
    </row>
    <row r="142" spans="1:5" ht="76.5">
      <c r="A142" s="5" t="str">
        <f ca="1">IFERROR(__xludf.DUMMYFUNCTION("""COMPUTED_VALUE"""),"МКС 2ВК «МОРОЗ» с датчиком вскрытия корпуса (тампером), IP66/IP68")</f>
        <v>МКС 2ВК «МОРОЗ» с датчиком вскрытия корпуса (тампером), IP66/IP68</v>
      </c>
      <c r="B142" s="6" t="str">
        <f ca="1">IFERROR(__xludf.DUMMYFUNCTION("""COMPUTED_VALUE"""),"Корпус из алюминиевого сплава, 90х90х62мм. Датчик вскрытия корпуса (тампер). Клеммная колодка РМ2 (400 А, 24 А, 2,5 мм.кв) 10 пар контактов. 2 кабельных ввода ПКВ20х1,5 (под кабель от 6 до 12 мм )")</f>
        <v>Корпус из алюминиевого сплава, 90х90х62мм. Датчик вскрытия корпуса (тампер). Клеммная колодка РМ2 (400 А, 24 А, 2,5 мм.кв) 10 пар контактов. 2 кабельных ввода ПКВ20х1,5 (под кабель от 6 до 12 мм )</v>
      </c>
      <c r="C142" s="9">
        <f ca="1">IFERROR(__xludf.DUMMYFUNCTION("""COMPUTED_VALUE"""),3025)</f>
        <v>3025</v>
      </c>
      <c r="D142" s="6"/>
      <c r="E142" s="8"/>
    </row>
    <row r="143" spans="1:5" ht="127.5">
      <c r="A143" s="5" t="str">
        <f ca="1">IFERROR(__xludf.DUMMYFUNCTION("""COMPUTED_VALUE"""),"Exd коробка металлическая 310х260х200 «АЛАБАЙ»")</f>
        <v>Exd коробка металлическая 310х260х200 «АЛАБАЙ»</v>
      </c>
      <c r="B143" s="6" t="str">
        <f ca="1">IFERROR(__xludf.DUMMYFUNCTION("""COMPUTED_VALUE"""),"Корпус из алюминиевого повышенной недеформируемой геометрической прочности. Цельнолитая бесшовная конструкция обладает высокой механической прочностью и стойкостью к высоким температурам, рабочим агрессивным средам. 
Резьбовые отверстия под кабельные ввод"&amp;"ы диаметром от М12 до М75 — по заказу.")</f>
        <v>Корпус из алюминиевого повышенной недеформируемой геометрической прочности. Цельнолитая бесшовная конструкция обладает высокой механической прочностью и стойкостью к высоким температурам, рабочим агрессивным средам. 
Резьбовые отверстия под кабельные вводы диаметром от М12 до М75 — по заказу.</v>
      </c>
      <c r="C143" s="9">
        <f ca="1">IFERROR(__xludf.DUMMYFUNCTION("""COMPUTED_VALUE"""),48000)</f>
        <v>48000</v>
      </c>
      <c r="D143" s="6"/>
      <c r="E143" s="8"/>
    </row>
    <row r="144" spans="1:5" ht="38.25">
      <c r="A144" s="5" t="str">
        <f ca="1">IFERROR(__xludf.DUMMYFUNCTION("""COMPUTED_VALUE"""),"Ех коробка соединительная металлическая МКС «МОРОЗ» IP66/IP68  (Ех-компонент)")</f>
        <v>Ех коробка соединительная металлическая МКС «МОРОЗ» IP66/IP68  (Ех-компонент)</v>
      </c>
      <c r="B144" s="6" t="str">
        <f ca="1">IFERROR(__xludf.DUMMYFUNCTION("""COMPUTED_VALUE"""),"IP66/IP68, Ех еb IIC Gb U, Ex tb IIIC Db U, Корпус из алюминиевого сплава, 90х90х62мм.")</f>
        <v>IP66/IP68, Ех еb IIC Gb U, Ex tb IIIC Db U, Корпус из алюминиевого сплава, 90х90х62мм.</v>
      </c>
      <c r="C144" s="9">
        <f ca="1">IFERROR(__xludf.DUMMYFUNCTION("""COMPUTED_VALUE"""),1300.2)</f>
        <v>1300.2</v>
      </c>
      <c r="D144" s="6"/>
      <c r="E144" s="8"/>
    </row>
    <row r="145" spans="1:5" ht="51">
      <c r="A145" s="5" t="str">
        <f ca="1">IFERROR(__xludf.DUMMYFUNCTION("""COMPUTED_VALUE"""),"Ех коробка МКС «МОРОЗ» IP66/IP68 Ал ПЛ10 В1МВ20х1,5 4-10 ЛП")</f>
        <v>Ех коробка МКС «МОРОЗ» IP66/IP68 Ал ПЛ10 В1МВ20х1,5 4-10 ЛП</v>
      </c>
      <c r="B145" s="6" t="str">
        <f ca="1">IFERROR(__xludf.DUMMYFUNCTION("""COMPUTED_VALUE"""),"1 кабельный ввод МВ20х1,5 (под кабель от 4 до 10 мм), пластиковый клеммниик 10 пар, IP66/IP68, Корпус из алюминиевого сплава, 90х90х62мм,")</f>
        <v>1 кабельный ввод МВ20х1,5 (под кабель от 4 до 10 мм), пластиковый клеммниик 10 пар, IP66/IP68, Корпус из алюминиевого сплава, 90х90х62мм,</v>
      </c>
      <c r="C145" s="9">
        <f ca="1">IFERROR(__xludf.DUMMYFUNCTION("""COMPUTED_VALUE"""),2528.9)</f>
        <v>2528.9</v>
      </c>
      <c r="D145" s="6"/>
      <c r="E145" s="8"/>
    </row>
    <row r="146" spans="1:5" ht="51">
      <c r="A146" s="5" t="str">
        <f ca="1">IFERROR(__xludf.DUMMYFUNCTION("""COMPUTED_VALUE"""),"Ех коробка МКС «МОРОЗ» IP66/IP68 Ал ПЛ10 В1МВ20х1,5 4-10 ЛП С1МВ20х1,5 4-10 ЛП")</f>
        <v>Ех коробка МКС «МОРОЗ» IP66/IP68 Ал ПЛ10 В1МВ20х1,5 4-10 ЛП С1МВ20х1,5 4-10 ЛП</v>
      </c>
      <c r="B146" s="6" t="str">
        <f ca="1">IFERROR(__xludf.DUMMYFUNCTION("""COMPUTED_VALUE"""),"2 кабельных ввода МВ20х1,5 (под кабель от 4 до 10 мм), пластиковый клеммниик 10 пар, IP66/IP68, Корпус из алюминиевого сплава, 90х90х62мм,")</f>
        <v>2 кабельных ввода МВ20х1,5 (под кабель от 4 до 10 мм), пластиковый клеммниик 10 пар, IP66/IP68, Корпус из алюминиевого сплава, 90х90х62мм,</v>
      </c>
      <c r="C146" s="9">
        <f ca="1">IFERROR(__xludf.DUMMYFUNCTION("""COMPUTED_VALUE"""),2770.9)</f>
        <v>2770.9</v>
      </c>
      <c r="D146" s="6"/>
      <c r="E146" s="8"/>
    </row>
    <row r="147" spans="1:5" ht="51">
      <c r="A147" s="5" t="str">
        <f ca="1">IFERROR(__xludf.DUMMYFUNCTION("""COMPUTED_VALUE"""),"Ех коробка МКС «МОРОЗ» IP66/IP68  Ал Кр6 В1МВ20х1,5 4-10 ЛП С1МВ20х1,5 4-10 ЛП")</f>
        <v>Ех коробка МКС «МОРОЗ» IP66/IP68  Ал Кр6 В1МВ20х1,5 4-10 ЛП С1МВ20х1,5 4-10 ЛП</v>
      </c>
      <c r="B147" s="6" t="str">
        <f ca="1">IFERROR(__xludf.DUMMYFUNCTION("""COMPUTED_VALUE"""),"1 кабельный ввод МВ20х1,5 (под кабель от 4 до 10 мм), керамический клеммниик 6 пар, IP66/IP68, Корпус из алюминиевого сплава, 90х90х62мм")</f>
        <v>1 кабельный ввод МВ20х1,5 (под кабель от 4 до 10 мм), керамический клеммниик 6 пар, IP66/IP68, Корпус из алюминиевого сплава, 90х90х62мм</v>
      </c>
      <c r="C147" s="9">
        <f ca="1">IFERROR(__xludf.DUMMYFUNCTION("""COMPUTED_VALUE"""),2528.9)</f>
        <v>2528.9</v>
      </c>
      <c r="D147" s="6"/>
      <c r="E147" s="8"/>
    </row>
    <row r="148" spans="1:5" ht="51">
      <c r="A148" s="5" t="str">
        <f ca="1">IFERROR(__xludf.DUMMYFUNCTION("""COMPUTED_VALUE"""),"Ех коробка МКС «МОРОЗ» IP66/IP68 Ал Кр6 В1МВ20х1,5 4-10 ЛП С1МВ20х1,5 4-10 ЛП")</f>
        <v>Ех коробка МКС «МОРОЗ» IP66/IP68 Ал Кр6 В1МВ20х1,5 4-10 ЛП С1МВ20х1,5 4-10 ЛП</v>
      </c>
      <c r="B148" s="6" t="str">
        <f ca="1">IFERROR(__xludf.DUMMYFUNCTION("""COMPUTED_VALUE"""),"2 кабельных ввода МВ20х1,5 (под кабель от 4 до 10 мм), керамический клеммниик 6 пар, IP66/IP68, Корпус из алюминиевого сплава, 90х90х62мм")</f>
        <v>2 кабельных ввода МВ20х1,5 (под кабель от 4 до 10 мм), керамический клеммниик 6 пар, IP66/IP68, Корпус из алюминиевого сплава, 90х90х62мм</v>
      </c>
      <c r="C148" s="9">
        <f ca="1">IFERROR(__xludf.DUMMYFUNCTION("""COMPUTED_VALUE"""),2770.9)</f>
        <v>2770.9</v>
      </c>
      <c r="D148" s="6"/>
      <c r="E148" s="8"/>
    </row>
    <row r="149" spans="1:5" ht="51">
      <c r="A149" s="5" t="str">
        <f ca="1">IFERROR(__xludf.DUMMYFUNCTION("""COMPUTED_VALUE"""),"Ех коробка МКС «МОРОЗ» IP66/IP68 Ал ПЛ10 В1МВ25х1,5 6-12 ЛП")</f>
        <v>Ех коробка МКС «МОРОЗ» IP66/IP68 Ал ПЛ10 В1МВ25х1,5 6-12 ЛП</v>
      </c>
      <c r="B149" s="6" t="str">
        <f ca="1">IFERROR(__xludf.DUMMYFUNCTION("""COMPUTED_VALUE"""),"1 кабельный ввод МВ25х1,5 (под кабель от 6 до 12 мм), пластиковый клеммниик 10 пар, IP66/IP68, Корпус из алюминиевого сплава, 90х90х62мм,")</f>
        <v>1 кабельный ввод МВ25х1,5 (под кабель от 6 до 12 мм), пластиковый клеммниик 10 пар, IP66/IP68, Корпус из алюминиевого сплава, 90х90х62мм,</v>
      </c>
      <c r="C149" s="9">
        <f ca="1">IFERROR(__xludf.DUMMYFUNCTION("""COMPUTED_VALUE"""),2649.9)</f>
        <v>2649.9</v>
      </c>
      <c r="D149" s="6"/>
      <c r="E149" s="8"/>
    </row>
    <row r="150" spans="1:5" ht="51">
      <c r="A150" s="5" t="str">
        <f ca="1">IFERROR(__xludf.DUMMYFUNCTION("""COMPUTED_VALUE"""),"Ех коробка МКС «МОРОЗ» IP66/IP68 Ал ПЛ10 В1МВ25х1,5 6-12 ЛП С1МВ25х1,5 6-12 ЛП")</f>
        <v>Ех коробка МКС «МОРОЗ» IP66/IP68 Ал ПЛ10 В1МВ25х1,5 6-12 ЛП С1МВ25х1,5 6-12 ЛП</v>
      </c>
      <c r="B150" s="6" t="str">
        <f ca="1">IFERROR(__xludf.DUMMYFUNCTION("""COMPUTED_VALUE"""),"2 кабельных ввода МВ25х1,5 (под кабель от 6 до 12 мм), пластиковый клеммниик 10 пар, IP66/IP68, Корпус из алюминиевого сплава, 90х90х62мм,")</f>
        <v>2 кабельных ввода МВ25х1,5 (под кабель от 6 до 12 мм), пластиковый клеммниик 10 пар, IP66/IP68, Корпус из алюминиевого сплава, 90х90х62мм,</v>
      </c>
      <c r="C150" s="9">
        <f ca="1">IFERROR(__xludf.DUMMYFUNCTION("""COMPUTED_VALUE"""),2891.9)</f>
        <v>2891.9</v>
      </c>
      <c r="D150" s="6"/>
      <c r="E150" s="8"/>
    </row>
    <row r="151" spans="1:5" ht="51">
      <c r="A151" s="5" t="str">
        <f ca="1">IFERROR(__xludf.DUMMYFUNCTION("""COMPUTED_VALUE"""),"Ех коробка МКС «МОРОЗ» IP66/IP68 Ал Кр6 В1МВ25х1,5 6-12 ЛП")</f>
        <v>Ех коробка МКС «МОРОЗ» IP66/IP68 Ал Кр6 В1МВ25х1,5 6-12 ЛП</v>
      </c>
      <c r="B151" s="6" t="str">
        <f ca="1">IFERROR(__xludf.DUMMYFUNCTION("""COMPUTED_VALUE"""),"1 кабельный ввод МВ25х1,5 (под кабель от 6 до 12 мм), керамический клеммниик 6 пар, IP66/IP68, Корпус из алюминиевого сплава, 90х90х62мм")</f>
        <v>1 кабельный ввод МВ25х1,5 (под кабель от 6 до 12 мм), керамический клеммниик 6 пар, IP66/IP68, Корпус из алюминиевого сплава, 90х90х62мм</v>
      </c>
      <c r="C151" s="9">
        <f ca="1">IFERROR(__xludf.DUMMYFUNCTION("""COMPUTED_VALUE"""),2649.9)</f>
        <v>2649.9</v>
      </c>
      <c r="D151" s="6"/>
      <c r="E151" s="8"/>
    </row>
    <row r="152" spans="1:5" ht="51">
      <c r="A152" s="5" t="str">
        <f ca="1">IFERROR(__xludf.DUMMYFUNCTION("""COMPUTED_VALUE"""),"Ех коробка МКС «МОРОЗ» IP66/IP68 Ал Кр6 В1МВ25х1,5 6-12 ЛП С1МВ25х1,5 6-12 ЛП")</f>
        <v>Ех коробка МКС «МОРОЗ» IP66/IP68 Ал Кр6 В1МВ25х1,5 6-12 ЛП С1МВ25х1,5 6-12 ЛП</v>
      </c>
      <c r="B152" s="6" t="str">
        <f ca="1">IFERROR(__xludf.DUMMYFUNCTION("""COMPUTED_VALUE"""),"2 кабельных ввода МВ25х1,5 (под кабель от 6 до 12 мм), керамический клеммниик 6 пар, IP66/IP68, Корпус из алюминиевого сплава, 90х90х62мм")</f>
        <v>2 кабельных ввода МВ25х1,5 (под кабель от 6 до 12 мм), керамический клеммниик 6 пар, IP66/IP68, Корпус из алюминиевого сплава, 90х90х62мм</v>
      </c>
      <c r="C152" s="9">
        <f ca="1">IFERROR(__xludf.DUMMYFUNCTION("""COMPUTED_VALUE"""),2891.9)</f>
        <v>2891.9</v>
      </c>
      <c r="D152" s="6"/>
      <c r="E152" s="8"/>
    </row>
    <row r="153" spans="1:5" ht="76.5">
      <c r="A153" s="5" t="str">
        <f ca="1">IFERROR(__xludf.DUMMYFUNCTION("""COMPUTED_VALUE"""),"ДПР М12 исп. 00")</f>
        <v>ДПР М12 исп. 00</v>
      </c>
      <c r="B153" s="6" t="str">
        <f ca="1">IFERROR(__xludf.DUMMYFUNCTION("""COMPUTED_VALUE"""),"НР,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f>
        <v>НР,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v>
      </c>
      <c r="C153" s="9">
        <f ca="1">IFERROR(__xludf.DUMMYFUNCTION("""COMPUTED_VALUE"""),400)</f>
        <v>400</v>
      </c>
      <c r="D153" s="6"/>
      <c r="E153" s="8"/>
    </row>
    <row r="154" spans="1:5" ht="76.5">
      <c r="A154" s="5" t="str">
        <f ca="1">IFERROR(__xludf.DUMMYFUNCTION("""COMPUTED_VALUE"""),"ДПР М12 исп. 01")</f>
        <v>ДПР М12 исп. 01</v>
      </c>
      <c r="B154" s="6" t="str">
        <f ca="1">IFERROR(__xludf.DUMMYFUNCTION("""COMPUTED_VALUE"""),"Переключающий,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f>
        <v>Переключающий, внешняя резьба на корпусе М12. Датчик оснащен прижимной гайкой с резиновой прокладкой, позволяющих надежно фиксировать его в отверстиях диаметром 12мм. Вывод двойная изоляция 1,5м.</v>
      </c>
      <c r="C154" s="9">
        <f ca="1">IFERROR(__xludf.DUMMYFUNCTION("""COMPUTED_VALUE"""),622)</f>
        <v>622</v>
      </c>
      <c r="D154" s="6"/>
      <c r="E154" s="8"/>
    </row>
    <row r="155" spans="1:5" ht="76.5">
      <c r="A155" s="5" t="str">
        <f ca="1">IFERROR(__xludf.DUMMYFUNCTION("""COMPUTED_VALUE"""),"ДПР М20 исп. 00")</f>
        <v>ДПР М20 исп. 00</v>
      </c>
      <c r="B155" s="6" t="str">
        <f ca="1">IFERROR(__xludf.DUMMYFUNCTION("""COMPUTED_VALUE"""),"НР,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f>
        <v>НР,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v>
      </c>
      <c r="C155" s="9">
        <f ca="1">IFERROR(__xludf.DUMMYFUNCTION("""COMPUTED_VALUE"""),467)</f>
        <v>467</v>
      </c>
      <c r="D155" s="6"/>
      <c r="E155" s="8"/>
    </row>
    <row r="156" spans="1:5" ht="76.5">
      <c r="A156" s="5" t="str">
        <f ca="1">IFERROR(__xludf.DUMMYFUNCTION("""COMPUTED_VALUE"""),"ДПР М20 исп. 01")</f>
        <v>ДПР М20 исп. 01</v>
      </c>
      <c r="B156" s="6" t="str">
        <f ca="1">IFERROR(__xludf.DUMMYFUNCTION("""COMPUTED_VALUE"""),"Переключающий,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f>
        <v>Переключающий, внешняя резьба на корпусе М20. Датчик оснащен прижимной гайкой с резиновой прокладкой, позволяющих надежно фиксировать его в отверстиях диаметром 20мм. Вывод двойная изоляция 1,5м.</v>
      </c>
      <c r="C156" s="9">
        <f ca="1">IFERROR(__xludf.DUMMYFUNCTION("""COMPUTED_VALUE"""),690)</f>
        <v>690</v>
      </c>
      <c r="D156" s="6"/>
      <c r="E156" s="8"/>
    </row>
    <row r="157" spans="1:5" ht="76.5">
      <c r="A157" s="5" t="str">
        <f ca="1">IFERROR(__xludf.DUMMYFUNCTION("""COMPUTED_VALUE"""),"ДПР М25 исп. 00")</f>
        <v>ДПР М25 исп. 00</v>
      </c>
      <c r="B157" s="6" t="str">
        <f ca="1">IFERROR(__xludf.DUMMYFUNCTION("""COMPUTED_VALUE"""),"НР,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f>
        <v>НР,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v>
      </c>
      <c r="C157" s="9">
        <f ca="1">IFERROR(__xludf.DUMMYFUNCTION("""COMPUTED_VALUE"""),550)</f>
        <v>550</v>
      </c>
      <c r="D157" s="6"/>
      <c r="E157" s="8"/>
    </row>
    <row r="158" spans="1:5" ht="76.5">
      <c r="A158" s="5" t="str">
        <f ca="1">IFERROR(__xludf.DUMMYFUNCTION("""COMPUTED_VALUE"""),"ДПР М25 исп. 01")</f>
        <v>ДПР М25 исп. 01</v>
      </c>
      <c r="B158" s="6" t="str">
        <f ca="1">IFERROR(__xludf.DUMMYFUNCTION("""COMPUTED_VALUE"""),"Переключающий,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f>
        <v>Переключающий, внешняя резьба на корпусе М25. Датчик оснащен прижимной гайкой с резиновой прокладкой, позволяющих надежно фиксировать его в отверстиях диаметром 25мм. Вывод двойная изоляция 1,5м.</v>
      </c>
      <c r="C158" s="9">
        <f ca="1">IFERROR(__xludf.DUMMYFUNCTION("""COMPUTED_VALUE"""),780)</f>
        <v>780</v>
      </c>
      <c r="D158" s="6"/>
      <c r="E158" s="8"/>
    </row>
    <row r="159" spans="1:5" ht="76.5">
      <c r="A159" s="5" t="str">
        <f ca="1">IFERROR(__xludf.DUMMYFUNCTION("""COMPUTED_VALUE"""),"Ограждение стойки считывателя ОС-1 АЯКС, цвет оранжевый, «на асфальт»")</f>
        <v>Ограждение стойки считывателя ОС-1 АЯКС, цвет оранжевый, «на асфальт»</v>
      </c>
      <c r="B159" s="6" t="str">
        <f ca="1">IFERROR(__xludf.DUMMYFUNCTION("""COMPUTED_VALUE"""),"Для защиты стойки считывателя от случайного механического воздействия, из трубы диаметром 28 мм . Высота ограждения над уровнем поверхности 83 см, ширина 43 см, цвет оранжевый по шкале RAL 2008")</f>
        <v>Для защиты стойки считывателя от случайного механического воздействия, из трубы диаметром 28 мм . Высота ограждения над уровнем поверхности 83 см, ширина 43 см, цвет оранжевый по шкале RAL 2008</v>
      </c>
      <c r="C159" s="9">
        <f ca="1">IFERROR(__xludf.DUMMYFUNCTION("""COMPUTED_VALUE"""),3407.8)</f>
        <v>3407.8</v>
      </c>
      <c r="D159" s="6"/>
      <c r="E159" s="8"/>
    </row>
    <row r="160" spans="1:5" ht="102">
      <c r="A160" s="5" t="str">
        <f ca="1">IFERROR(__xludf.DUMMYFUNCTION("""COMPUTED_VALUE"""),"Ограждение стойки считывателя ОС-1 АЯКС, цвет оранжевый, «под бетонирование»")</f>
        <v>Ограждение стойки считывателя ОС-1 АЯКС, цвет оранжевый, «под бетонирование»</v>
      </c>
      <c r="B160"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оранжевый по шкале "&amp;"RAL 2008")</f>
        <v>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оранжевый по шкале RAL 2008</v>
      </c>
      <c r="C160" s="9">
        <f ca="1">IFERROR(__xludf.DUMMYFUNCTION("""COMPUTED_VALUE"""),3696)</f>
        <v>3696</v>
      </c>
      <c r="D160" s="6"/>
      <c r="E160" s="8"/>
    </row>
    <row r="161" spans="1:5" ht="76.5">
      <c r="A161" s="5" t="str">
        <f ca="1">IFERROR(__xludf.DUMMYFUNCTION("""COMPUTED_VALUE"""),"Ограждение стойки считывателя ОС-1 АЯКС, цвет черный, «на асфальт»")</f>
        <v>Ограждение стойки считывателя ОС-1 АЯКС, цвет черный, «на асфальт»</v>
      </c>
      <c r="B161"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ширина 43 см,  цвет черный по шкале RAL 9005")</f>
        <v>Для защиты стойки считывателя от случайного механического воздействия, из трубы диаметром 28 мм Высота ограждения над уровнем поверхности 83 см, ширина 43 см,  цвет черный по шкале RAL 9005</v>
      </c>
      <c r="C161" s="9">
        <f ca="1">IFERROR(__xludf.DUMMYFUNCTION("""COMPUTED_VALUE"""),3407.8)</f>
        <v>3407.8</v>
      </c>
      <c r="D161" s="6"/>
      <c r="E161" s="8"/>
    </row>
    <row r="162" spans="1:5" ht="102">
      <c r="A162" s="5" t="str">
        <f ca="1">IFERROR(__xludf.DUMMYFUNCTION("""COMPUTED_VALUE"""),"Ограждение стойки считывателя ОС-1 АЯКС, цвет черный, «под бетонирование»")</f>
        <v>Ограждение стойки считывателя ОС-1 АЯКС, цвет черный, «под бетонирование»</v>
      </c>
      <c r="B162" s="6" t="str">
        <f ca="1">IFERROR(__xludf.DUMMYFUNCTION("""COMPUTED_VALUE"""),"Для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черные по шкале R"&amp;"AL 9005")</f>
        <v>Для защиты стойки считывателя от случайного механического воздействия, из трубы диаметром 28 мм. Высота ограждения над уровнем поверхности 83 см, отвод трубы ниже уровня поверхности 42 см, общая высота стойки 125 см,  ширина 43 см,  цвет черные по шкале RAL 9005</v>
      </c>
      <c r="C162" s="9">
        <f ca="1">IFERROR(__xludf.DUMMYFUNCTION("""COMPUTED_VALUE"""),3696)</f>
        <v>3696</v>
      </c>
      <c r="D162" s="6"/>
      <c r="E162" s="8"/>
    </row>
    <row r="163" spans="1:5" ht="178.5">
      <c r="A163" s="5" t="str">
        <f ca="1">IFERROR(__xludf.DUMMYFUNCTION("""COMPUTED_VALUE"""),"Стойка (опора) пожарная СП-1 исп.00 (на асфальт)")</f>
        <v>Стойка (опора) пожарная СП-1 исп.00 (на асфальт)</v>
      </c>
      <c r="B163"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v>
      </c>
      <c r="C163" s="9">
        <f ca="1">IFERROR(__xludf.DUMMYFUNCTION("""COMPUTED_VALUE"""),6441.6)</f>
        <v>6441.6</v>
      </c>
      <c r="D163" s="6"/>
      <c r="E163" s="8"/>
    </row>
    <row r="164" spans="1:5" ht="204">
      <c r="A164" s="5" t="str">
        <f ca="1">IFERROR(__xludf.DUMMYFUNCTION("""COMPUTED_VALUE"""),"Стойка (опора) пожарная СП-1 исп.01 (под бетонирование)")</f>
        <v>Стойка (опора) пожарная СП-1 исп.01 (под бетонирование)</v>
      </c>
      <c r="B164"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 заклад"&amp;"ная пластина для бетонирования + комплект оцинкованного крепежа.")</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1638 мм, труба 30х60, с основанием для крепежа, закладная пластина для бетонирования + комплект оцинкованного крепежа.</v>
      </c>
      <c r="C164" s="9">
        <f ca="1">IFERROR(__xludf.DUMMYFUNCTION("""COMPUTED_VALUE"""),7370)</f>
        <v>7370</v>
      </c>
      <c r="D164" s="6"/>
      <c r="E164" s="8"/>
    </row>
    <row r="165" spans="1:5" ht="178.5">
      <c r="A165" s="5" t="str">
        <f ca="1">IFERROR(__xludf.DUMMYFUNCTION("""COMPUTED_VALUE"""),"Стойка (опора) пожарная СП-1 исп.02 (в землю)")</f>
        <v>Стойка (опора) пожарная СП-1 исп.02 (в землю)</v>
      </c>
      <c r="B165" s="6" t="str">
        <f ca="1">IFERROR(__xludf.DUMMYFUNCTION("""COMPUTED_VALUE"""),"Для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53"&amp;"5-50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2000 мм, труба 30х60.")</f>
        <v>Для установки извещателей пожарных ручных, устройств дистанционного пуска и оповещателей, типа ИП 535-50/Ex-A «СЕВЕР» 0Ex ia IIC T6 Ga, ИП535/В «Север» 0Ex ia IIC T6 Ga, УДП 535-50 «СЕВЕР» 0Ex ia IIC T6 Ga Х, ИП 535-50 «СЕВЕР», ИП 535-26-A «СЕВЕР», УДП 535-50 «СЕВЕР», ОС-12/В «АЯКС» при отсутствии стен или других строительных конструкций. Защитное покрытие (окраска) красного цвета (по требованию заказчика возможна окраска стойки в другой цвет). Высота 2000 мм, труба 30х60.</v>
      </c>
      <c r="C165" s="9">
        <f ca="1">IFERROR(__xludf.DUMMYFUNCTION("""COMPUTED_VALUE"""),6215)</f>
        <v>6215</v>
      </c>
      <c r="D165" s="6"/>
      <c r="E165" s="8"/>
    </row>
    <row r="166" spans="1:5" ht="51">
      <c r="A166" s="5" t="str">
        <f ca="1">IFERROR(__xludf.DUMMYFUNCTION("""COMPUTED_VALUE"""),"Стойка для фотоэлемента 0,5м Аякс исп.00 (на асфальт), черная")</f>
        <v>Стойка для фотоэлемента 0,5м Аякс исп.00 (на асфальт), черная</v>
      </c>
      <c r="B166" s="6" t="str">
        <f ca="1">IFERROR(__xludf.DUMMYFUNCTION("""COMPUTED_VALUE"""),"Для монтажа фотоэлемента в системах безопасности автоматических шлагбаумов. Высота 0,5 м, труба 30х60 мм, цвет черный по шкале RAL 9005")</f>
        <v>Для монтажа фотоэлемента в системах безопасности автоматических шлагбаумов. Высота 0,5 м, труба 30х60 мм, цвет черный по шкале RAL 9005</v>
      </c>
      <c r="C166" s="9">
        <f ca="1">IFERROR(__xludf.DUMMYFUNCTION("""COMPUTED_VALUE"""),1650)</f>
        <v>1650</v>
      </c>
      <c r="D166" s="6"/>
      <c r="E166" s="8"/>
    </row>
    <row r="167" spans="1:5" ht="76.5">
      <c r="A167" s="5" t="str">
        <f ca="1">IFERROR(__xludf.DUMMYFUNCTION("""COMPUTED_VALUE"""),"Стойка для фотоэлемента 0,5м Аякс исп.01 (под бетонирование), черная")</f>
        <v>Стойка для фотоэлемента 0,5м Аякс исп.01 (под бетонирование), черная</v>
      </c>
      <c r="B167" s="6" t="str">
        <f ca="1">IFERROR(__xludf.DUMMYFUNCTION("""COMPUTED_VALUE"""),"Для монтажа фотоэлемента в системах безопасности автоматических шлагбаумов. Высота 0,5 м, труба 30х60 мм, цвет черный по шкале RAL 9005,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цвет черный по шкале RAL 9005, закладная пластина для бетонирования + комплект оцинкованного крепежа.</v>
      </c>
      <c r="C167" s="9">
        <f ca="1">IFERROR(__xludf.DUMMYFUNCTION("""COMPUTED_VALUE"""),2650)</f>
        <v>2650</v>
      </c>
      <c r="D167" s="6"/>
      <c r="E167" s="8"/>
    </row>
    <row r="168" spans="1:5" ht="51">
      <c r="A168" s="5" t="str">
        <f ca="1">IFERROR(__xludf.DUMMYFUNCTION("""COMPUTED_VALUE"""),"Стойка для фотоэлемента 0,5м Аякс исп.00 (на асфальт), оранжевая")</f>
        <v>Стойка для фотоэлемента 0,5м Аякс исп.00 (на асфальт), оранжевая</v>
      </c>
      <c r="B168" s="6" t="str">
        <f ca="1">IFERROR(__xludf.DUMMYFUNCTION("""COMPUTED_VALUE"""),"Для монтажа фотоэлемента в системах безопасности автоматических шлагбаумов. Высота 0,5 м, труба 30х60 мм, цвет оранжевый по шкале RAL 2008")</f>
        <v>Для монтажа фотоэлемента в системах безопасности автоматических шлагбаумов. Высота 0,5 м, труба 30х60 мм, цвет оранжевый по шкале RAL 2008</v>
      </c>
      <c r="C168" s="9">
        <f ca="1">IFERROR(__xludf.DUMMYFUNCTION("""COMPUTED_VALUE"""),1650)</f>
        <v>1650</v>
      </c>
      <c r="D168" s="6"/>
      <c r="E168" s="8"/>
    </row>
    <row r="169" spans="1:5" ht="76.5">
      <c r="A169" s="5" t="str">
        <f ca="1">IFERROR(__xludf.DUMMYFUNCTION("""COMPUTED_VALUE"""),"Стойка для фотоэлемента Аякс 0,5м исп.01 (под бетонирование), оранжевая")</f>
        <v>Стойка для фотоэлемента Аякс 0,5м исп.01 (под бетонирование), оранжевая</v>
      </c>
      <c r="B169" s="6" t="str">
        <f ca="1">IFERROR(__xludf.DUMMYFUNCTION("""COMPUTED_VALUE"""),"Для монтажа фотоэлемента в системах безопасности автоматических шлагбаумов. Высота 0,5 м, труба 30х60 мм, цвет оранжеый по шкале RAL 2008,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цвет оранжеый по шкале RAL 2008, закладная пластина для бетонирования + комплект оцинкованного крепежа.</v>
      </c>
      <c r="C169" s="9">
        <f ca="1">IFERROR(__xludf.DUMMYFUNCTION("""COMPUTED_VALUE"""),2650)</f>
        <v>2650</v>
      </c>
      <c r="D169" s="6"/>
      <c r="E169" s="8"/>
    </row>
    <row r="170" spans="1:5" ht="51">
      <c r="A170" s="5" t="str">
        <f ca="1">IFERROR(__xludf.DUMMYFUNCTION("""COMPUTED_VALUE"""),"Стойка для фотоэлемента 0,5м Аякс исп.00 (на асфальт), нержавеющая сталь")</f>
        <v>Стойка для фотоэлемента 0,5м Аякс исп.00 (на асфальт), нержавеющая сталь</v>
      </c>
      <c r="B170" s="6" t="str">
        <f ca="1">IFERROR(__xludf.DUMMYFUNCTION("""COMPUTED_VALUE"""),"Для монтажа фотоэлемента в системах безопасности автоматических шлагбаумов. Высота 0,5 м, труба 30х60 мм, нержавеющая сталь")</f>
        <v>Для монтажа фотоэлемента в системах безопасности автоматических шлагбаумов. Высота 0,5 м, труба 30х60 мм, нержавеющая сталь</v>
      </c>
      <c r="C170" s="9">
        <f ca="1">IFERROR(__xludf.DUMMYFUNCTION("""COMPUTED_VALUE"""),4200)</f>
        <v>4200</v>
      </c>
      <c r="D170" s="6"/>
      <c r="E170" s="8"/>
    </row>
    <row r="171" spans="1:5" ht="76.5">
      <c r="A171" s="5" t="str">
        <f ca="1">IFERROR(__xludf.DUMMYFUNCTION("""COMPUTED_VALUE"""),"Стойка для фотоэлемента Аякс 0,5м исп.01 (под бетонирование), нержавеющая сталь")</f>
        <v>Стойка для фотоэлемента Аякс 0,5м исп.01 (под бетонирование), нержавеющая сталь</v>
      </c>
      <c r="B171" s="6" t="str">
        <f ca="1">IFERROR(__xludf.DUMMYFUNCTION("""COMPUTED_VALUE"""),"Для монтажа фотоэлемента в системах безопасности автоматических шлагбаумов. Высота 0,5 м, труба 30х60 мм, нержавеющая сталь, закладная пластина для бетонирования + комплект оцинкованного крепежа.")</f>
        <v>Для монтажа фотоэлемента в системах безопасности автоматических шлагбаумов. Высота 0,5 м, труба 30х60 мм, нержавеющая сталь, закладная пластина для бетонирования + комплект оцинкованного крепежа.</v>
      </c>
      <c r="C171" s="9">
        <f ca="1">IFERROR(__xludf.DUMMYFUNCTION("""COMPUTED_VALUE"""),5200)</f>
        <v>5200</v>
      </c>
      <c r="D171" s="6"/>
      <c r="E171" s="8"/>
    </row>
    <row r="172" spans="1:5" ht="51">
      <c r="A172" s="5" t="str">
        <f ca="1">IFERROR(__xludf.DUMMYFUNCTION("""COMPUTED_VALUE"""),"Стойка для фотоэлемента 1,5м Аякс исп.00 (на асфальт), черная")</f>
        <v>Стойка для фотоэлемента 1,5м Аякс исп.00 (на асфальт), черная</v>
      </c>
      <c r="B172" s="6" t="str">
        <f ca="1">IFERROR(__xludf.DUMMYFUNCTION("""COMPUTED_VALUE"""),"Для монтажа фотоэлемента в контрольно-пропускных системах. Высота 1,5 м, труба 30х60 мм, цвет черный по шкале RAL 9005")</f>
        <v>Для монтажа фотоэлемента в контрольно-пропускных системах. Высота 1,5 м, труба 30х60 мм, цвет черный по шкале RAL 9005</v>
      </c>
      <c r="C172" s="9">
        <f ca="1">IFERROR(__xludf.DUMMYFUNCTION("""COMPUTED_VALUE"""),2650)</f>
        <v>2650</v>
      </c>
      <c r="D172" s="6"/>
      <c r="E172" s="8"/>
    </row>
    <row r="173" spans="1:5" ht="76.5">
      <c r="A173" s="5" t="str">
        <f ca="1">IFERROR(__xludf.DUMMYFUNCTION("""COMPUTED_VALUE"""),"Стойка для фотоэлемента 1,5м Аякс исп.01 (под бетонирование), черная")</f>
        <v>Стойка для фотоэлемента 1,5м Аякс исп.01 (под бетонирование), черная</v>
      </c>
      <c r="B173" s="6" t="str">
        <f ca="1">IFERROR(__xludf.DUMMYFUNCTION("""COMPUTED_VALUE"""),"Для монтажа фотоэлемента в в контрольно-пропускных системах. Высота 1,5 м, труба 30х60 мм, цвет черный по шкале RAL 9005, закладная пластина для бетонирования + комплект оцинкованного крепежа.")</f>
        <v>Для монтажа фотоэлемента в в контрольно-пропускных системах. Высота 1,5 м, труба 30х60 мм, цвет черный по шкале RAL 9005, закладная пластина для бетонирования + комплект оцинкованного крепежа.</v>
      </c>
      <c r="C173" s="9">
        <f ca="1">IFERROR(__xludf.DUMMYFUNCTION("""COMPUTED_VALUE"""),3650)</f>
        <v>3650</v>
      </c>
      <c r="D173" s="6"/>
      <c r="E173" s="8"/>
    </row>
    <row r="174" spans="1:5" ht="51">
      <c r="A174" s="5" t="str">
        <f ca="1">IFERROR(__xludf.DUMMYFUNCTION("""COMPUTED_VALUE"""),"Стойка для фотоэлемента 1,5м Аякс исп.00 (на асфальт), оранжевая")</f>
        <v>Стойка для фотоэлемента 1,5м Аякс исп.00 (на асфальт), оранжевая</v>
      </c>
      <c r="B174" s="6" t="str">
        <f ca="1">IFERROR(__xludf.DUMMYFUNCTION("""COMPUTED_VALUE"""),"Для монтажа фотоэлемента в в контрольно-пропускных системах. Высота 1,5 м, труба 30х60 мм, цвет оранжевый по шкале RAL 2008")</f>
        <v>Для монтажа фотоэлемента в в контрольно-пропускных системах. Высота 1,5 м, труба 30х60 мм, цвет оранжевый по шкале RAL 2008</v>
      </c>
      <c r="C174" s="9">
        <f ca="1">IFERROR(__xludf.DUMMYFUNCTION("""COMPUTED_VALUE"""),2650)</f>
        <v>2650</v>
      </c>
      <c r="D174" s="6"/>
      <c r="E174" s="8"/>
    </row>
    <row r="175" spans="1:5" ht="76.5">
      <c r="A175" s="5" t="str">
        <f ca="1">IFERROR(__xludf.DUMMYFUNCTION("""COMPUTED_VALUE"""),"Стойка для фотоэлемента Аякс 1,5м исп.01 (под бетонирование), оранжевая")</f>
        <v>Стойка для фотоэлемента Аякс 1,5м исп.01 (под бетонирование), оранжевая</v>
      </c>
      <c r="B175" s="6" t="str">
        <f ca="1">IFERROR(__xludf.DUMMYFUNCTION("""COMPUTED_VALUE"""),"Для монтажа фотоэлемента в контрольно-пропускных системах. Высота 1,5 м, труба 30х60 мм, цвет оранжеый по шкале RAL 2008, закладная пластина для бетонирования + комплект оцинкованного крепежа.")</f>
        <v>Для монтажа фотоэлемента в контрольно-пропускных системах. Высота 1,5 м, труба 30х60 мм, цвет оранжеый по шкале RAL 2008, закладная пластина для бетонирования + комплект оцинкованного крепежа.</v>
      </c>
      <c r="C175" s="9">
        <f ca="1">IFERROR(__xludf.DUMMYFUNCTION("""COMPUTED_VALUE"""),3650)</f>
        <v>3650</v>
      </c>
      <c r="D175" s="6"/>
      <c r="E175" s="8"/>
    </row>
    <row r="176" spans="1:5" ht="38.25">
      <c r="A176" s="5" t="str">
        <f ca="1">IFERROR(__xludf.DUMMYFUNCTION("""COMPUTED_VALUE"""),"Стойка для фотоэлемента 1,5м Аякс исп.00 (на асфальт), нержавеющая сталь")</f>
        <v>Стойка для фотоэлемента 1,5м Аякс исп.00 (на асфальт), нержавеющая сталь</v>
      </c>
      <c r="B176" s="6" t="str">
        <f ca="1">IFERROR(__xludf.DUMMYFUNCTION("""COMPUTED_VALUE"""),"Для монтажа фотоэлемента в контрольно-пропускных системах. Высота 1,5 м, труба 30х60 мм, нержавеющая сталь")</f>
        <v>Для монтажа фотоэлемента в контрольно-пропускных системах. Высота 1,5 м, труба 30х60 мм, нержавеющая сталь</v>
      </c>
      <c r="C176" s="9">
        <f ca="1">IFERROR(__xludf.DUMMYFUNCTION("""COMPUTED_VALUE"""),6650)</f>
        <v>6650</v>
      </c>
      <c r="D176" s="6"/>
      <c r="E176" s="8"/>
    </row>
    <row r="177" spans="1:5" ht="76.5">
      <c r="A177" s="5" t="str">
        <f ca="1">IFERROR(__xludf.DUMMYFUNCTION("""COMPUTED_VALUE"""),"Стойка для фотоэлемента 1,5м Аякс исп.01 (под бетонирование), нержавеющая сталь")</f>
        <v>Стойка для фотоэлемента 1,5м Аякс исп.01 (под бетонирование), нержавеющая сталь</v>
      </c>
      <c r="B177" s="6" t="str">
        <f ca="1">IFERROR(__xludf.DUMMYFUNCTION("""COMPUTED_VALUE"""),"Для монтажа фотоэлемента в в контрольно-пропускных системах. Высота 1,5 м, труба 30х60 мм, нержавеющая сталь, закладная пластина для бетонирования + комплект оцинкованного крепежа.")</f>
        <v>Для монтажа фотоэлемента в в контрольно-пропускных системах. Высота 1,5 м, труба 30х60 мм, нержавеющая сталь, закладная пластина для бетонирования + комплект оцинкованного крепежа.</v>
      </c>
      <c r="C177" s="9">
        <f ca="1">IFERROR(__xludf.DUMMYFUNCTION("""COMPUTED_VALUE"""),7650)</f>
        <v>7650</v>
      </c>
      <c r="D177" s="6"/>
      <c r="E177" s="8"/>
    </row>
    <row r="178" spans="1:5" ht="76.5">
      <c r="A178" s="5" t="str">
        <f ca="1">IFERROR(__xludf.DUMMYFUNCTION("""COMPUTED_VALUE"""),"Козырек защитный универсальный 135х58 АЯКС, черный")</f>
        <v>Козырек защитный универсальный 135х58 АЯКС, черный</v>
      </c>
      <c r="B178"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цвет черный по шкале RAL 9005")</f>
        <v>Для защиты фотоэлеменов, кнопок выхода, вызывных панелей видеодмофона от засветки и атмосферных осадков. Габаритные размеры 135х58х50, цвет черный по шкале RAL 9005</v>
      </c>
      <c r="C178" s="9">
        <f ca="1">IFERROR(__xludf.DUMMYFUNCTION("""COMPUTED_VALUE"""),980)</f>
        <v>980</v>
      </c>
      <c r="D178" s="6"/>
      <c r="E178" s="8"/>
    </row>
    <row r="179" spans="1:5" ht="76.5">
      <c r="A179" s="5" t="str">
        <f ca="1">IFERROR(__xludf.DUMMYFUNCTION("""COMPUTED_VALUE"""),"Козырек защитный универсальный 135х58 АЯКС, оранжевый")</f>
        <v>Козырек защитный универсальный 135х58 АЯКС, оранжевый</v>
      </c>
      <c r="B179"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цвет оранжевый по шкале RAL 2008")</f>
        <v>Для защиты фотоэлеменов, кнопок выхода, вызывных панелей видеодмофона от засветки и атмосферных осадков. Габаритные размеры 135х58х50, цвет оранжевый по шкале RAL 2008</v>
      </c>
      <c r="C179" s="9">
        <f ca="1">IFERROR(__xludf.DUMMYFUNCTION("""COMPUTED_VALUE"""),980)</f>
        <v>980</v>
      </c>
      <c r="D179" s="6"/>
      <c r="E179" s="8"/>
    </row>
    <row r="180" spans="1:5" ht="63.75">
      <c r="A180" s="5" t="str">
        <f ca="1">IFERROR(__xludf.DUMMYFUNCTION("""COMPUTED_VALUE"""),"Козырек защитный универсальный 135х58 АЯКС, нержавеющая сталь")</f>
        <v>Козырек защитный универсальный 135х58 АЯКС, нержавеющая сталь</v>
      </c>
      <c r="B180" s="6" t="str">
        <f ca="1">IFERROR(__xludf.DUMMYFUNCTION("""COMPUTED_VALUE"""),"Для защиты фотоэлеменов, кнопок выхода, вызывных панелей видеодмофона от засветки и атмосферных осадков. Габаритные размеры 135х58х50, нержавеющая сталь")</f>
        <v>Для защиты фотоэлеменов, кнопок выхода, вызывных панелей видеодмофона от засветки и атмосферных осадков. Габаритные размеры 135х58х50, нержавеющая сталь</v>
      </c>
      <c r="C180" s="9">
        <f ca="1">IFERROR(__xludf.DUMMYFUNCTION("""COMPUTED_VALUE"""),2480)</f>
        <v>2480</v>
      </c>
      <c r="D180" s="6"/>
      <c r="E180" s="8"/>
    </row>
    <row r="181" spans="1:5" ht="127.5">
      <c r="A181" s="5" t="str">
        <f ca="1">IFERROR(__xludf.DUMMYFUNCTION("""COMPUTED_VALUE"""),"Стойка (опора) пожарная универсальная СПУ-02 исп.00 (на асфальт)
        ")</f>
        <v xml:space="preserve">Стойка (опора) пожарная универсальная СПУ-02 исп.00 (на асфальт)
        </v>
      </c>
      <c r="B181"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1" s="9">
        <f ca="1">IFERROR(__xludf.DUMMYFUNCTION("""COMPUTED_VALUE"""),7048.8)</f>
        <v>7048.8</v>
      </c>
      <c r="D181" s="6"/>
      <c r="E181" s="8"/>
    </row>
    <row r="182" spans="1:5" ht="127.5">
      <c r="A182" s="5" t="str">
        <f ca="1">IFERROR(__xludf.DUMMYFUNCTION("""COMPUTED_VALUE"""),"Стойка (опора) пожарная универсальная СПУ-02 исп.01 (под бетонирование)")</f>
        <v>Стойка (опора) пожарная универсальная СПУ-02 исп.01 (под бетонирование)</v>
      </c>
      <c r="B182"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2" s="9">
        <f ca="1">IFERROR(__xludf.DUMMYFUNCTION("""COMPUTED_VALUE"""),8107)</f>
        <v>8107</v>
      </c>
      <c r="D182" s="6"/>
      <c r="E182" s="8"/>
    </row>
    <row r="183" spans="1:5" ht="127.5">
      <c r="A183" s="5" t="str">
        <f ca="1">IFERROR(__xludf.DUMMYFUNCTION("""COMPUTED_VALUE"""),"Стойка (опора) пожарная универсальная СПУ-02 исп.02 (в землю)")</f>
        <v>Стойка (опора) пожарная универсальная СПУ-02 исп.02 (в землю)</v>
      </c>
      <c r="B183" s="6" t="str">
        <f ca="1">IFERROR(__xludf.DUMMYFUNCTION("""COMPUTED_VALUE"""),"Предназначена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выше"&amp;"указанных приборов различных производителей.")</f>
        <v>Предназначена для установки извещателей пожарных ручных и тепловых, устройств дистанционного пуска и оповещателей. Особенностью стойки СПУ-02 является увеличенная и усиленная монтажная пластина, на которой могут быть размещены подавляющее большинство вышеуказанных приборов различных производителей.</v>
      </c>
      <c r="C183" s="9">
        <f ca="1">IFERROR(__xludf.DUMMYFUNCTION("""COMPUTED_VALUE"""),6820)</f>
        <v>6820</v>
      </c>
      <c r="D183" s="6"/>
      <c r="E183" s="8"/>
    </row>
    <row r="184" spans="1:5" ht="76.5">
      <c r="A184" s="5" t="str">
        <f ca="1">IFERROR(__xludf.DUMMYFUNCTION("""COMPUTED_VALUE"""),"Стойка кноки выхода Аякс исп.00 (на асфальт), черная")</f>
        <v>Стойка кноки выхода Аякс исп.00 (на асфальт), черная</v>
      </c>
      <c r="B184" s="6" t="str">
        <f ca="1">IFERROR(__xludf.DUMMYFUNCTION("""COMPUTED_VALUE"""),"Для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черный по шкале RAL 9005")</f>
        <v>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черный по шкале RAL 9005</v>
      </c>
      <c r="C184" s="9">
        <f ca="1">IFERROR(__xludf.DUMMYFUNCTION("""COMPUTED_VALUE"""),6441.6)</f>
        <v>6441.6</v>
      </c>
      <c r="D184" s="6"/>
      <c r="E184" s="8"/>
    </row>
    <row r="185" spans="1:5" ht="102">
      <c r="A185" s="5" t="str">
        <f ca="1">IFERROR(__xludf.DUMMYFUNCTION("""COMPUTED_VALUE"""),"Стойка кноки выхода Аякс исп.01 (под бетонирование), черная")</f>
        <v>Стойка кноки выхода Аякс исп.01 (под бетонирование), черная</v>
      </c>
      <c r="B185" s="6" t="str">
        <f ca="1">IFERROR(__xludf.DUMMYFUNCTION("""COMPUTED_VALUE"""),"Для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черный по шкале R"&amp;"AL 9005")</f>
        <v>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черный по шкале RAL 9005</v>
      </c>
      <c r="C185" s="9">
        <f ca="1">IFERROR(__xludf.DUMMYFUNCTION("""COMPUTED_VALUE"""),7370)</f>
        <v>7370</v>
      </c>
      <c r="D185" s="6"/>
      <c r="E185" s="8"/>
    </row>
    <row r="186" spans="1:5" ht="63.75">
      <c r="A186" s="5" t="str">
        <f ca="1">IFERROR(__xludf.DUMMYFUNCTION("""COMPUTED_VALUE"""),"Стойка кноки выхода Аякс исп.02 (в землю), черная")</f>
        <v>Стойка кноки выхода Аякс исп.02 (в землю), черная</v>
      </c>
      <c r="B186" s="6" t="str">
        <f ca="1">IFERROR(__xludf.DUMMYFUNCTION("""COMPUTED_VALUE"""),"Для монтажа кнопки выхода систем контроля и управления доступом. Защитный козырек от атмосферных осадков. Длина 1500 мм, труба 30х60 мм, цвет черный по шкале RAL 9005")</f>
        <v>Для монтажа кнопки выхода систем контроля и управления доступом. Защитный козырек от атмосферных осадков. Длина 1500 мм, труба 30х60 мм, цвет черный по шкале RAL 9005</v>
      </c>
      <c r="C186" s="9">
        <f ca="1">IFERROR(__xludf.DUMMYFUNCTION("""COMPUTED_VALUE"""),6215)</f>
        <v>6215</v>
      </c>
      <c r="D186" s="6"/>
      <c r="E186" s="8"/>
    </row>
    <row r="187" spans="1:5" ht="76.5">
      <c r="A187" s="5" t="str">
        <f ca="1">IFERROR(__xludf.DUMMYFUNCTION("""COMPUTED_VALUE"""),"Стойка кноки выхода Аякс исп.00 (на асфальт), оранжевая")</f>
        <v>Стойка кноки выхода Аякс исп.00 (на асфальт), оранжевая</v>
      </c>
      <c r="B187" s="6" t="str">
        <f ca="1">IFERROR(__xludf.DUMMYFUNCTION("""COMPUTED_VALUE"""),"Для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оранжевый по шкале RAL 2008")</f>
        <v>Для монтажа кнопки выхода систем контроля и управления доступом. Защитный козырек от атмосферных осадков, основание для крепежа. Высота 1130 мм, труба 30х60 мм, цвет оранжевый по шкале RAL 2008</v>
      </c>
      <c r="C187" s="9">
        <f ca="1">IFERROR(__xludf.DUMMYFUNCTION("""COMPUTED_VALUE"""),6441.6)</f>
        <v>6441.6</v>
      </c>
      <c r="D187" s="6"/>
      <c r="E187" s="8"/>
    </row>
    <row r="188" spans="1:5" ht="102">
      <c r="A188" s="5" t="str">
        <f ca="1">IFERROR(__xludf.DUMMYFUNCTION("""COMPUTED_VALUE"""),"Стойка кноки выхода Аякс исп.01 (под бетонирование), оранжевая")</f>
        <v>Стойка кноки выхода Аякс исп.01 (под бетонирование), оранжевая</v>
      </c>
      <c r="B188" s="6" t="str">
        <f ca="1">IFERROR(__xludf.DUMMYFUNCTION("""COMPUTED_VALUE"""),"Для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оранжевый по шкал"&amp;"е RAL 2008")</f>
        <v>Для монтажа кнопки выхода систем контроля и управления доступом. Защитный козырек от атмосферных осадков, основанием для крепежа, закладная пластина для бетонирования + комплект оцинкованного крепежа, Высота 1130 мм, труба 30х60 мм, цвет оранжевый по шкале RAL 2008</v>
      </c>
      <c r="C188" s="9">
        <f ca="1">IFERROR(__xludf.DUMMYFUNCTION("""COMPUTED_VALUE"""),7370)</f>
        <v>7370</v>
      </c>
      <c r="D188" s="6"/>
      <c r="E188" s="8"/>
    </row>
    <row r="189" spans="1:5" ht="63.75">
      <c r="A189" s="5" t="str">
        <f ca="1">IFERROR(__xludf.DUMMYFUNCTION("""COMPUTED_VALUE"""),"Стойка кноки выхода Аякс исп.02 (в землю), оранжевая")</f>
        <v>Стойка кноки выхода Аякс исп.02 (в землю), оранжевая</v>
      </c>
      <c r="B189" s="6" t="str">
        <f ca="1">IFERROR(__xludf.DUMMYFUNCTION("""COMPUTED_VALUE"""),"Для монтажа кнопки выхода систем контроля и управления доступом. Защитный козырек от атмосферных осадков. Длина 1500 мм, труба 30х60 мм, цвет оранжевый по шкале RAL 2008")</f>
        <v>Для монтажа кнопки выхода систем контроля и управления доступом. Защитный козырек от атмосферных осадков. Длина 1500 мм, труба 30х60 мм, цвет оранжевый по шкале RAL 2008</v>
      </c>
      <c r="C189" s="9">
        <f ca="1">IFERROR(__xludf.DUMMYFUNCTION("""COMPUTED_VALUE"""),6215)</f>
        <v>6215</v>
      </c>
      <c r="D189" s="6"/>
      <c r="E189" s="8"/>
    </row>
    <row r="190" spans="1:5" ht="114.75">
      <c r="A190" s="5" t="str">
        <f ca="1">IFERROR(__xludf.DUMMYFUNCTION("""COMPUTED_VALUE"""),"Стойка для считывателя Аякс 150х150 мм, оранжевая, Базовая, наклонная")</f>
        <v>Стойка для считывателя Аякс 150х150 мм, оранжевая, Базовая, наклонная</v>
      </c>
      <c r="B190"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0" s="9">
        <f ca="1">IFERROR(__xludf.DUMMYFUNCTION("""COMPUTED_VALUE"""),5994)</f>
        <v>5994</v>
      </c>
      <c r="D190" s="6"/>
      <c r="E190" s="8"/>
    </row>
    <row r="191" spans="1:5" ht="89.25">
      <c r="A191" s="5" t="str">
        <f ca="1">IFERROR(__xludf.DUMMYFUNCTION("""COMPUTED_VALUE"""),"Стойка для считывателя Аякс 150х150 мм, оранжевая, Лайт, наклонная")</f>
        <v>Стойка для считывателя Аякс 150х150 мм, оранжевая, Лайт, наклонная</v>
      </c>
      <c r="B191"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оранжевый по шкале RAL 2008</v>
      </c>
      <c r="C191" s="9">
        <f ca="1">IFERROR(__xludf.DUMMYFUNCTION("""COMPUTED_VALUE"""),5733)</f>
        <v>5733</v>
      </c>
      <c r="D191" s="6"/>
      <c r="E191" s="8"/>
    </row>
    <row r="192" spans="1:5" ht="114.75">
      <c r="A192" s="10" t="str">
        <f ca="1">IFERROR(__xludf.DUMMYFUNCTION("""COMPUTED_VALUE"""),"Стойка для считывателя Аякс 150х150 мм, черная, Базовая, наклонная")</f>
        <v>Стойка для считывателя Аякс 150х150 мм, черная, Базовая, наклонная</v>
      </c>
      <c r="B192"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192" s="9">
        <f ca="1">IFERROR(__xludf.DUMMYFUNCTION("""COMPUTED_VALUE"""),5994)</f>
        <v>5994</v>
      </c>
      <c r="D192" s="6"/>
      <c r="E192" s="8"/>
    </row>
    <row r="193" spans="1:5" ht="89.25">
      <c r="A193" s="5" t="str">
        <f ca="1">IFERROR(__xludf.DUMMYFUNCTION("""COMPUTED_VALUE"""),"Стойка для считывателя Аякс 150х150 мм, черная, Лайт, наклонная")</f>
        <v>Стойка для считывателя Аякс 150х150 мм, черная, Лайт, наклонная</v>
      </c>
      <c r="B193"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193" s="9">
        <f ca="1">IFERROR(__xludf.DUMMYFUNCTION("""COMPUTED_VALUE"""),5733)</f>
        <v>5733</v>
      </c>
      <c r="D193" s="6"/>
      <c r="E193" s="8"/>
    </row>
    <row r="194" spans="1:5" ht="114.75">
      <c r="A194" s="5" t="str">
        <f ca="1">IFERROR(__xludf.DUMMYFUNCTION("""COMPUTED_VALUE"""),"Стойка для считывателя Аякс 150х150 мм, оранжевая, Базовая, прямая")</f>
        <v>Стойка для считывателя Аякс 150х150 мм, оранжевая, Базовая, прямая</v>
      </c>
      <c r="B194" s="6" t="str">
        <f ca="1">IFERROR(__xludf.DUMMYFUNCTION("""COMPUTED_VALUE"""),"Прямая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крепе"&amp;"жа, цвет оранжевый по шкале RAL 2008")</f>
        <v>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4" s="9">
        <f ca="1">IFERROR(__xludf.DUMMYFUNCTION("""COMPUTED_VALUE"""),5839.5)</f>
        <v>5839.5</v>
      </c>
      <c r="D194" s="6"/>
      <c r="E194" s="8"/>
    </row>
    <row r="195" spans="1:5" ht="114.75">
      <c r="A195" s="5" t="str">
        <f ca="1">IFERROR(__xludf.DUMMYFUNCTION("""COMPUTED_VALUE"""),"Стойка для считывателя Аякс 150х150 мм, черная, Базовая, прямая")</f>
        <v>Стойка для считывателя Аякс 150х150 мм, черная, Базовая, прямая</v>
      </c>
      <c r="B195" s="6" t="str">
        <f ca="1">IFERROR(__xludf.DUMMYFUNCTION("""COMPUTED_VALUE"""),"Прямая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крепе"&amp;"жа, цвет черный по шкале RAL 9005")</f>
        <v>Прямая стойка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195" s="9">
        <f ca="1">IFERROR(__xludf.DUMMYFUNCTION("""COMPUTED_VALUE"""),5839.5)</f>
        <v>5839.5</v>
      </c>
      <c r="D195" s="6"/>
      <c r="E195" s="8"/>
    </row>
    <row r="196" spans="1:5" ht="114.75">
      <c r="A196" s="5" t="str">
        <f ca="1">IFERROR(__xludf.DUMMYFUNCTION("""COMPUTED_VALUE"""),"Стойка для считывателя Аякс 170х180 мм, оранжевая, Базовая, наклонная")</f>
        <v>Стойка для считывателя Аякс 170х180 мм, оранжевая, Базовая, наклонная</v>
      </c>
      <c r="B196"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196" s="9">
        <f ca="1">IFERROR(__xludf.DUMMYFUNCTION("""COMPUTED_VALUE"""),6273)</f>
        <v>6273</v>
      </c>
      <c r="D196" s="6"/>
      <c r="E196" s="8"/>
    </row>
    <row r="197" spans="1:5" ht="89.25">
      <c r="A197" s="5" t="str">
        <f ca="1">IFERROR(__xludf.DUMMYFUNCTION("""COMPUTED_VALUE"""),"Стойка для считывателя Аякс 170х180 мм, оранжевая, Лайт, наклонная")</f>
        <v>Стойка для считывателя Аякс 170х180 мм, оранжевая, Лайт, наклонная</v>
      </c>
      <c r="B197"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цвет оранжевый по шкале RAL 2008</v>
      </c>
      <c r="C197" s="9">
        <f ca="1">IFERROR(__xludf.DUMMYFUNCTION("""COMPUTED_VALUE"""),6063)</f>
        <v>6063</v>
      </c>
      <c r="D197" s="6"/>
      <c r="E197" s="8"/>
    </row>
    <row r="198" spans="1:5" ht="114.75">
      <c r="A198" s="5" t="str">
        <f ca="1">IFERROR(__xludf.DUMMYFUNCTION("""COMPUTED_VALUE"""),"Стойка для считывателя Аякс 170х180 мм, черная, Базовая, наклонная")</f>
        <v>Стойка для считывателя Аякс 170х180 мм, черная, Базовая, наклонная</v>
      </c>
      <c r="B198" s="6" t="str">
        <f ca="1">IFERROR(__xludf.DUMMYFUNCTION("""COMPUTED_VALUE"""),"Наклонная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198" s="9">
        <f ca="1">IFERROR(__xludf.DUMMYFUNCTION("""COMPUTED_VALUE"""),6334.5)</f>
        <v>6334.5</v>
      </c>
      <c r="D198" s="6"/>
      <c r="E198" s="8"/>
    </row>
    <row r="199" spans="1:5" ht="89.25">
      <c r="A199" s="5" t="str">
        <f ca="1">IFERROR(__xludf.DUMMYFUNCTION("""COMPUTED_VALUE"""),"Стойка для считывателя Аякс 170х180 мм, черная, Лайт, наклонная")</f>
        <v>Стойка для считывателя Аякс 170х180 мм, черная, Лайт, наклонная</v>
      </c>
      <c r="B199"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199" s="9">
        <f ca="1">IFERROR(__xludf.DUMMYFUNCTION("""COMPUTED_VALUE"""),6063)</f>
        <v>6063</v>
      </c>
      <c r="D199" s="6"/>
      <c r="E199" s="8"/>
    </row>
    <row r="200" spans="1:5" ht="114.75">
      <c r="A200" s="5" t="str">
        <f ca="1">IFERROR(__xludf.DUMMYFUNCTION("""COMPUTED_VALUE"""),"Стойка для считывателя Аякс 170х180 мм, оранжевая, Базовая, прямая")</f>
        <v>Стойка для считывателя Аякс 170х180 мм, оранжевая, Базовая, прямая</v>
      </c>
      <c r="B200" s="6" t="str">
        <f ca="1">IFERROR(__xludf.DUMMYFUNCTION("""COMPUTED_VALUE"""),"Прямая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крепе"&amp;"жа, цвет оранжевый по шкале RAL 2008")</f>
        <v>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0" s="9">
        <f ca="1">IFERROR(__xludf.DUMMYFUNCTION("""COMPUTED_VALUE"""),6055.5)</f>
        <v>6055.5</v>
      </c>
      <c r="D200" s="6"/>
      <c r="E200" s="8"/>
    </row>
    <row r="201" spans="1:5" ht="114.75">
      <c r="A201" s="5" t="str">
        <f ca="1">IFERROR(__xludf.DUMMYFUNCTION("""COMPUTED_VALUE"""),"Стойка для считывателя Аякс 170х180 мм, черная, Базовая, прямая")</f>
        <v>Стойка для считывателя Аякс 170х180 мм, черная, Базовая, прямая</v>
      </c>
      <c r="B201" s="6" t="str">
        <f ca="1">IFERROR(__xludf.DUMMYFUNCTION("""COMPUTED_VALUE"""),"Прямая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крепе"&amp;"жа, цвет черный по шкале RAL 9005")</f>
        <v>Прямая стойка для установки считывающих устройств СКУД, высота 1270 мм, труба 30х60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1" s="9">
        <f ca="1">IFERROR(__xludf.DUMMYFUNCTION("""COMPUTED_VALUE"""),6055.5)</f>
        <v>6055.5</v>
      </c>
      <c r="D201" s="6"/>
      <c r="E201" s="8"/>
    </row>
    <row r="202" spans="1:5" ht="114.75">
      <c r="A202" s="5" t="str">
        <f ca="1">IFERROR(__xludf.DUMMYFUNCTION("""COMPUTED_VALUE"""),"Стойка для считывателя Аякс 150х250 мм, оранжевая, Базовая, наклонная")</f>
        <v>Стойка для считывателя Аякс 150х250 мм, оранжевая, Базовая, наклонная</v>
      </c>
      <c r="B202"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оци"&amp;"нкованного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2" s="9">
        <f ca="1">IFERROR(__xludf.DUMMYFUNCTION("""COMPUTED_VALUE"""),6612)</f>
        <v>6612</v>
      </c>
      <c r="D202" s="6"/>
      <c r="E202" s="8"/>
    </row>
    <row r="203" spans="1:5" ht="89.25">
      <c r="A203" s="5" t="str">
        <f ca="1">IFERROR(__xludf.DUMMYFUNCTION("""COMPUTED_VALUE"""),"Стойка для считывателя Аякс 150х250 мм, оранжевая, Лайт, наклонная")</f>
        <v>Стойка для считывателя Аякс 150х250 мм, оранжевая, Лайт, наклонная</v>
      </c>
      <c r="B203"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цвет оранжевый по шкале RAL 2008</v>
      </c>
      <c r="C203" s="9">
        <f ca="1">IFERROR(__xludf.DUMMYFUNCTION("""COMPUTED_VALUE"""),6363)</f>
        <v>6363</v>
      </c>
      <c r="D203" s="6"/>
      <c r="E203" s="8"/>
    </row>
    <row r="204" spans="1:5" ht="114.75">
      <c r="A204" s="5" t="str">
        <f ca="1">IFERROR(__xludf.DUMMYFUNCTION("""COMPUTED_VALUE"""),"Стойка для считывателя Аякс 150х250 мм, черная, Базовая, наклонная")</f>
        <v>Стойка для считывателя Аякс 150х250 мм, черная, Базовая, наклонная</v>
      </c>
      <c r="B204" s="6" t="str">
        <f ca="1">IFERROR(__xludf.DUMMYFUNCTION("""COMPUTED_VALUE"""),"Наклонная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оци"&amp;"нкованного крепежа, цвет черный по шкале RAL 9005")</f>
        <v>Наклонная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4" s="9">
        <f ca="1">IFERROR(__xludf.DUMMYFUNCTION("""COMPUTED_VALUE"""),6612)</f>
        <v>6612</v>
      </c>
      <c r="D204" s="6"/>
      <c r="E204" s="8"/>
    </row>
    <row r="205" spans="1:5" ht="89.25">
      <c r="A205" s="5" t="str">
        <f ca="1">IFERROR(__xludf.DUMMYFUNCTION("""COMPUTED_VALUE"""),"Стойка для считывателя Аякс 150х250 мм, черная, Лайт, наклонная")</f>
        <v>Стойка для считывателя Аякс 150х250 мм, черная, Лайт, наклонная</v>
      </c>
      <c r="B205" s="6" t="str">
        <f ca="1">IFERROR(__xludf.DUMMYFUNCTION("""COMPUTED_VALUE"""),"Наклонная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150х150мм с диэлектрической пластиной, основание 180х180 мм, электрический клеммник, цвет черный по шкале RAL 9005</v>
      </c>
      <c r="C205" s="9">
        <f ca="1">IFERROR(__xludf.DUMMYFUNCTION("""COMPUTED_VALUE"""),6363)</f>
        <v>6363</v>
      </c>
      <c r="D205" s="6"/>
      <c r="E205" s="8"/>
    </row>
    <row r="206" spans="1:5" ht="114.75">
      <c r="A206" s="5" t="str">
        <f ca="1">IFERROR(__xludf.DUMMYFUNCTION("""COMPUTED_VALUE"""),"Стойка для считывателя Аякс 150х250 мм, оранжевая, Базовая, прямая")</f>
        <v>Стойка для считывателя Аякс 150х250 мм, оранжевая, Базовая, прямая</v>
      </c>
      <c r="B206" s="6" t="str">
        <f ca="1">IFERROR(__xludf.DUMMYFUNCTION("""COMPUTED_VALUE"""),"Прямая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креп"&amp;"ежа, цвет оранжевый по шкале RAL 2008")</f>
        <v>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6" s="9">
        <f ca="1">IFERROR(__xludf.DUMMYFUNCTION("""COMPUTED_VALUE"""),6457.5)</f>
        <v>6457.5</v>
      </c>
      <c r="D206" s="6"/>
      <c r="E206" s="8"/>
    </row>
    <row r="207" spans="1:5" ht="114.75">
      <c r="A207" s="5" t="str">
        <f ca="1">IFERROR(__xludf.DUMMYFUNCTION("""COMPUTED_VALUE"""),"Стойка для считывателя Аякс 150х250 мм, черная, Базовая, прямая")</f>
        <v>Стойка для считывателя Аякс 150х250 мм, черная, Базовая, прямая</v>
      </c>
      <c r="B207" s="6" t="str">
        <f ca="1">IFERROR(__xludf.DUMMYFUNCTION("""COMPUTED_VALUE"""),"Прямая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креп"&amp;"ежа, цвет черный по шкале RAL 9005")</f>
        <v>Прямая стойка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07" s="9">
        <f ca="1">IFERROR(__xludf.DUMMYFUNCTION("""COMPUTED_VALUE"""),6457.5)</f>
        <v>6457.5</v>
      </c>
      <c r="D207" s="6"/>
      <c r="E207" s="8"/>
    </row>
    <row r="208" spans="1:5" ht="114.75">
      <c r="A208" s="5" t="str">
        <f ca="1">IFERROR(__xludf.DUMMYFUNCTION("""COMPUTED_VALUE"""),"Стойка для считывателя Аякс 300х400 мм, оранжевая, Базовая, наклонная")</f>
        <v>Стойка для считывателя Аякс 300х400 мм, оранжевая, Базовая, наклонная</v>
      </c>
      <c r="B208"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оци"&amp;"нкованного крепежа, цвет оранжевый по шкале RAL 2008")</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08" s="9">
        <f ca="1">IFERROR(__xludf.DUMMYFUNCTION("""COMPUTED_VALUE"""),8343)</f>
        <v>8343</v>
      </c>
      <c r="D208" s="6"/>
      <c r="E208" s="8"/>
    </row>
    <row r="209" spans="1:5" ht="89.25">
      <c r="A209" s="5" t="str">
        <f ca="1">IFERROR(__xludf.DUMMYFUNCTION("""COMPUTED_VALUE"""),"Стойка для считывателя Аякс 300х400 мм, оранжевая, Лайт, наклонная")</f>
        <v>Стойка для считывателя Аякс 300х400 мм, оранжевая, Лайт, наклонная</v>
      </c>
      <c r="B209"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оранжевый по шкале RAL 2008")</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оранжевый по шкале RAL 2008</v>
      </c>
      <c r="C209" s="9">
        <f ca="1">IFERROR(__xludf.DUMMYFUNCTION("""COMPUTED_VALUE"""),7875)</f>
        <v>7875</v>
      </c>
      <c r="D209" s="6"/>
      <c r="E209" s="8"/>
    </row>
    <row r="210" spans="1:5" ht="114.75">
      <c r="A210" s="5" t="str">
        <f ca="1">IFERROR(__xludf.DUMMYFUNCTION("""COMPUTED_VALUE"""),"Стойка для считывателя Аякс 300х400 мм, черная, Базовая, наклонная")</f>
        <v>Стойка для считывателя Аякс 300х400 мм, черная, Базовая, наклонная</v>
      </c>
      <c r="B210"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оци"&amp;"нкованного крепежа, цвет черный по шкале RAL 9005")</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10" s="9">
        <f ca="1">IFERROR(__xludf.DUMMYFUNCTION("""COMPUTED_VALUE"""),8343)</f>
        <v>8343</v>
      </c>
      <c r="D210" s="6"/>
      <c r="E210" s="8"/>
    </row>
    <row r="211" spans="1:5" ht="89.25">
      <c r="A211" s="5" t="str">
        <f ca="1">IFERROR(__xludf.DUMMYFUNCTION("""COMPUTED_VALUE"""),"Стойка для считывателя Аякс 300х400 мм, черная, Лайт, наклонная")</f>
        <v>Стойка для считывателя Аякс 300х400 мм, черная, Лайт, наклонная</v>
      </c>
      <c r="B211" s="6" t="str">
        <f ca="1">IFERROR(__xludf.DUMMYFUNCTION("""COMPUTED_VALUE"""),"Наклонная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черный по шкале RAL 9005")</f>
        <v>Наклонная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цвет черный по шкале RAL 9005</v>
      </c>
      <c r="C211" s="9">
        <f ca="1">IFERROR(__xludf.DUMMYFUNCTION("""COMPUTED_VALUE"""),7875)</f>
        <v>7875</v>
      </c>
      <c r="D211" s="6"/>
      <c r="E211" s="8"/>
    </row>
    <row r="212" spans="1:5" ht="114.75">
      <c r="A212" s="5" t="str">
        <f ca="1">IFERROR(__xludf.DUMMYFUNCTION("""COMPUTED_VALUE"""),"Стойка для считывателя Аякс 300х400 мм, оранжевая, Базовая, прямая")</f>
        <v>Стойка для считывателя Аякс 300х400 мм, оранжевая, Базовая, прямая</v>
      </c>
      <c r="B212" s="6" t="str">
        <f ca="1">IFERROR(__xludf.DUMMYFUNCTION("""COMPUTED_VALUE"""),"Прямая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креп"&amp;"ежа, цвет оранжевый по шкале RAL 2008")</f>
        <v>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12" s="9">
        <f ca="1">IFERROR(__xludf.DUMMYFUNCTION("""COMPUTED_VALUE"""),8034)</f>
        <v>8034</v>
      </c>
      <c r="D212" s="6"/>
      <c r="E212" s="8"/>
    </row>
    <row r="213" spans="1:5" ht="114.75">
      <c r="A213" s="5" t="str">
        <f ca="1">IFERROR(__xludf.DUMMYFUNCTION("""COMPUTED_VALUE"""),"Стойка для считывателя Аякс 300х400 мм, черная, Базовая, прямая")</f>
        <v>Стойка для считывателя Аякс 300х400 мм, черная, Базовая, прямая</v>
      </c>
      <c r="B213" s="6" t="str">
        <f ca="1">IFERROR(__xludf.DUMMYFUNCTION("""COMPUTED_VALUE"""),"Прямая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креп"&amp;"ежа, цвет черный по шкале RAL 9005")</f>
        <v>Прямая стойка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черный по шкале RAL 9005</v>
      </c>
      <c r="C213" s="9">
        <f ca="1">IFERROR(__xludf.DUMMYFUNCTION("""COMPUTED_VALUE"""),8034)</f>
        <v>8034</v>
      </c>
      <c r="D213" s="6"/>
      <c r="E213" s="8"/>
    </row>
    <row r="214" spans="1:5" ht="102">
      <c r="A214" s="5" t="str">
        <f ca="1">IFERROR(__xludf.DUMMYFUNCTION("""COMPUTED_VALUE"""),"Стойка для считывателя Аякс 150х150 мм, Базовая, наклонная, Труба 60х60")</f>
        <v>Стойка для считывателя Аякс 150х150 мм, Базовая, наклонная, Труба 60х60</v>
      </c>
      <c r="B214" s="6" t="str">
        <f ca="1">IFERROR(__xludf.DUMMYFUNCTION("""COMPUTED_VALUE"""),"Наклонная стойка (150 град.) для установки считывающих устройств СКУД, высота 1270 мм, труба 60х60 мм, защитный кожух 150х150мм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150х150мм с диэлектрической пластиной, основание 180х180 мм, электрический клеммник, закладная пластина для бетонирования + комплект оцинкованного крепежа</v>
      </c>
      <c r="C214" s="9">
        <f ca="1">IFERROR(__xludf.DUMMYFUNCTION("""COMPUTED_VALUE"""),8991)</f>
        <v>8991</v>
      </c>
      <c r="D214" s="6"/>
      <c r="E214" s="8"/>
    </row>
    <row r="215" spans="1:5" ht="102">
      <c r="A215" s="5" t="str">
        <f ca="1">IFERROR(__xludf.DUMMYFUNCTION("""COMPUTED_VALUE"""),"Стойка для считывателя Аякс 170х180 мм, Базовая, наклонная, Труба 60х60")</f>
        <v>Стойка для считывателя Аякс 170х180 мм, Базовая, наклонная, Труба 60х60</v>
      </c>
      <c r="B215" s="6" t="str">
        <f ca="1">IFERROR(__xludf.DUMMYFUNCTION("""COMPUTED_VALUE"""),"Наклонная стойка (150 град.) для установки считывающих устройств СКУД, высота 1270 мм, труба 60х60 мм, защитный кожух 170х180мм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170х180мм с диэлектрической пластиной, основание 180х180 мм, электрический клеммник, закладная пластина для бетонирования + комплект оцинкованного крепежа</v>
      </c>
      <c r="C215" s="9">
        <f ca="1">IFERROR(__xludf.DUMMYFUNCTION("""COMPUTED_VALUE"""),8599.5)</f>
        <v>8599.5</v>
      </c>
      <c r="D215" s="6"/>
      <c r="E215" s="8"/>
    </row>
    <row r="216" spans="1:5" ht="102">
      <c r="A216" s="5" t="str">
        <f ca="1">IFERROR(__xludf.DUMMYFUNCTION("""COMPUTED_VALUE"""),"Стойка для считывателя Аякс 150х250 мм, Базовая, наклонная, Труба 60х60")</f>
        <v>Стойка для считывателя Аякс 150х250 мм, Базовая, наклонная, Труба 60х60</v>
      </c>
      <c r="B216" s="6" t="str">
        <f ca="1">IFERROR(__xludf.DUMMYFUNCTION("""COMPUTED_VALUE"""),"Наклонная стойка (150 град.) для установки считывающих устройств СКУД, высота 1270 мм, труба 60х60 мм, защитный кожух 150х250мм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150х250мм с диэлектрической пластиной, основание 180х180 мм, электрический клеммник, закладная пластина для бетонирования + комплект оцинкованного крепежа</v>
      </c>
      <c r="C216" s="9">
        <f ca="1">IFERROR(__xludf.DUMMYFUNCTION("""COMPUTED_VALUE"""),8991)</f>
        <v>8991</v>
      </c>
      <c r="D216" s="6"/>
      <c r="E216" s="8"/>
    </row>
    <row r="217" spans="1:5" ht="102">
      <c r="A217" s="5" t="str">
        <f ca="1">IFERROR(__xludf.DUMMYFUNCTION("""COMPUTED_VALUE"""),"Стойка для считывателя Аякс 300х400 мм, Базовая, наклонная, Труба 60х60")</f>
        <v>Стойка для считывателя Аякс 300х400 мм, Базовая, наклонная, Труба 60х60</v>
      </c>
      <c r="B217" s="6" t="str">
        <f ca="1">IFERROR(__xludf.DUMMYFUNCTION("""COMPUTED_VALUE"""),"Наклонная стойка (150 град.) для установки считывающих устройств СКУД, высота 1270 мм, труба 60х60 мм, защитный кожух 300х400мм с диэлектрической пластиной, основание 180х180 мм, электрический клеммник, закладная пластина для бетонирования + комплект оцин"&amp;"кованного крепежа")</f>
        <v>Наклонная стойка (150 град.) для установки считывающих устройств СКУД, высота 1270 мм, труба 60х60 мм, защитный кожух 300х400мм с диэлектрической пластиной, основание 180х180 мм, электрический клеммник, закладная пластина для бетонирования + комплект оцинкованного крепежа</v>
      </c>
      <c r="C217" s="9">
        <f ca="1">IFERROR(__xludf.DUMMYFUNCTION("""COMPUTED_VALUE"""),8599.5)</f>
        <v>8599.5</v>
      </c>
      <c r="D217" s="6"/>
      <c r="E217" s="8"/>
    </row>
    <row r="218" spans="1:5" ht="76.5">
      <c r="A218" s="5" t="str">
        <f ca="1">IFERROR(__xludf.DUMMYFUNCTION("""COMPUTED_VALUE"""),"Стойка для считывателя Двухуровневая АЯКС 170х180, базовая, усиленная, Труба 60х60")</f>
        <v>Стойка для считывателя Двухуровневая АЯКС 170х180, базовая, усиленная, Труба 60х60</v>
      </c>
      <c r="B218" s="6" t="str">
        <f ca="1">IFERROR(__xludf.DUMMYFUNCTION("""COMPUTED_VALUE"""),"Высота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 Труба 60х60")</f>
        <v>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 Труба 60х60</v>
      </c>
      <c r="C218" s="9">
        <f ca="1">IFERROR(__xludf.DUMMYFUNCTION("""COMPUTED_VALUE"""),26070)</f>
        <v>26070</v>
      </c>
      <c r="D218" s="6"/>
      <c r="E218" s="8"/>
    </row>
    <row r="219" spans="1:5" ht="114.75">
      <c r="A219" s="5" t="str">
        <f ca="1">IFERROR(__xludf.DUMMYFUNCTION("""COMPUTED_VALUE"""),"Стойка для считывателя Аякс 150х150 мм, оранжевая, Базовая, двусторонняя")</f>
        <v>Стойка для считывателя Аякс 150х150 мм, оранжевая, Базовая, двусторонняя</v>
      </c>
      <c r="B219" s="6" t="str">
        <f ca="1">IFERROR(__xludf.DUMMYFUNCTION("""COMPUTED_VALUE"""),"Наклонная двусторонняя стойка (150 град.) для установки считывающих устройств СКУД, высота 1270 мм, труба 30х60 мм, защитный кожух 150х150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150х150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19" s="9">
        <f ca="1">IFERROR(__xludf.DUMMYFUNCTION("""COMPUTED_VALUE"""),8962.8)</f>
        <v>8962.7999999999993</v>
      </c>
      <c r="D219" s="6"/>
      <c r="E219" s="8"/>
    </row>
    <row r="220" spans="1:5" ht="114.75">
      <c r="A220" s="5" t="str">
        <f ca="1">IFERROR(__xludf.DUMMYFUNCTION("""COMPUTED_VALUE"""),"Стойка для считывателя Аякс 170х180 мм, оранжевая, Базовая, двусторонняя")</f>
        <v>Стойка для считывателя Аякс 170х180 мм, оранжевая, Базовая, двусторонняя</v>
      </c>
      <c r="B220" s="6" t="str">
        <f ca="1">IFERROR(__xludf.DUMMYFUNCTION("""COMPUTED_VALUE"""),"Наклонная двусторонняя стойка (150 град.) для установки считывающих устройств СКУД, высота 1270 мм, труба 30х60 мм, защитный кожух 170х180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170х180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0" s="9">
        <f ca="1">IFERROR(__xludf.DUMMYFUNCTION("""COMPUTED_VALUE"""),9424.8)</f>
        <v>9424.7999999999993</v>
      </c>
      <c r="D220" s="6"/>
      <c r="E220" s="8"/>
    </row>
    <row r="221" spans="1:5" ht="114.75">
      <c r="A221" s="5" t="str">
        <f ca="1">IFERROR(__xludf.DUMMYFUNCTION("""COMPUTED_VALUE"""),"Стойка для считывателя Аякс 150х250 мм, оранжевая, Базовая, двусторонняя")</f>
        <v>Стойка для считывателя Аякс 150х250 мм, оранжевая, Базовая, двусторонняя</v>
      </c>
      <c r="B221" s="6" t="str">
        <f ca="1">IFERROR(__xludf.DUMMYFUNCTION("""COMPUTED_VALUE"""),"Наклонная двусторонняя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150х250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1" s="9">
        <f ca="1">IFERROR(__xludf.DUMMYFUNCTION("""COMPUTED_VALUE"""),9886.8)</f>
        <v>9886.7999999999993</v>
      </c>
      <c r="D221" s="6"/>
      <c r="E221" s="8"/>
    </row>
    <row r="222" spans="1:5" ht="114.75">
      <c r="A222" s="5" t="str">
        <f ca="1">IFERROR(__xludf.DUMMYFUNCTION("""COMPUTED_VALUE"""),"Стойка для считывателя Аякс 300х400 мм, оранжевая, Базовая, двусторонняя")</f>
        <v>Стойка для считывателя Аякс 300х400 мм, оранжевая, Базовая, двусторонняя</v>
      </c>
      <c r="B222" s="6" t="str">
        <f ca="1">IFERROR(__xludf.DUMMYFUNCTION("""COMPUTED_VALUE"""),"Наклонная двусторонняя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+"&amp;" комплект оцинкованного крепежа, цвет оранжевый по шкале RAL 2008")</f>
        <v>Наклонная двусторонняя стойка (150 град.) для установки считывающих устройств СКУД, высота 1270 мм, труба 30х60 мм, защитный кожух 300х400 мм с диэлектрической пластиной, основание 180х180 мм, электрический клеммник, закладная пластина для бетонирования + комплект оцинкованного крепежа, цвет оранжевый по шкале RAL 2008</v>
      </c>
      <c r="C222" s="9">
        <f ca="1">IFERROR(__xludf.DUMMYFUNCTION("""COMPUTED_VALUE"""),12474)</f>
        <v>12474</v>
      </c>
      <c r="D222" s="6"/>
      <c r="E222" s="8"/>
    </row>
    <row r="223" spans="1:5" ht="63.75">
      <c r="A223" s="5" t="str">
        <f ca="1">IFERROR(__xludf.DUMMYFUNCTION("""COMPUTED_VALUE"""),"Стойка для считывателя Двухуровневая АЯКС 170х180, базовая, усиленная")</f>
        <v>Стойка для считывателя Двухуровневая АЯКС 170х180, базовая, усиленная</v>
      </c>
      <c r="B223" s="6" t="str">
        <f ca="1">IFERROR(__xludf.DUMMYFUNCTION("""COMPUTED_VALUE"""),"Высота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f>
        <v>Высота стойки верхнего яруса — 2560 мм, нижнего яруса — 1360 мм. Верхний и нижний уровень укомплектованы двумя  съемными кожухами 170 х 180 мм, основание стойки усилено.</v>
      </c>
      <c r="C223" s="9">
        <f ca="1">IFERROR(__xludf.DUMMYFUNCTION("""COMPUTED_VALUE"""),17380)</f>
        <v>17380</v>
      </c>
      <c r="D223" s="6"/>
      <c r="E223" s="8"/>
    </row>
    <row r="224" spans="1:5" ht="89.25">
      <c r="A224" s="5" t="str">
        <f ca="1">IFERROR(__xludf.DUMMYFUNCTION("""COMPUTED_VALUE"""),"Стойка для считывателя Аякс 150х150 мм, настенная, оранжевая")</f>
        <v>Стойка для считывателя Аякс 150х150 мм, настенная, оранжевая</v>
      </c>
      <c r="B224" s="6" t="str">
        <f ca="1">IFERROR(__xludf.DUMMYFUNCTION("""COMPUTED_VALUE"""),"Настенная стойка для установки считывающих устройств СКУД , вынос от стены - 40 см, труба 30х60 мм, защитный кожух 150х150мм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- 40 см, труба 30х60 мм, защитный кожух 150х150мм с диэлектрической пластиной, 4 усиливающие косынки, электрический клеммник, цвет оранжевый по шкале RAL 2008</v>
      </c>
      <c r="C224" s="9">
        <f ca="1">IFERROR(__xludf.DUMMYFUNCTION("""COMPUTED_VALUE"""),6055.5)</f>
        <v>6055.5</v>
      </c>
      <c r="D224" s="6"/>
      <c r="E224" s="8"/>
    </row>
    <row r="225" spans="1:5" ht="89.25">
      <c r="A225" s="5" t="str">
        <f ca="1">IFERROR(__xludf.DUMMYFUNCTION("""COMPUTED_VALUE"""),"Стойка для считывателя Аякс 150х150 мм, настенная , черная")</f>
        <v>Стойка для считывателя Аякс 150х150 мм, настенная , черная</v>
      </c>
      <c r="B225" s="6" t="str">
        <f ca="1">IFERROR(__xludf.DUMMYFUNCTION("""COMPUTED_VALUE"""),"Настенная стойка для установки считывающих устройств СКУД, вынос от стены - 30 см, труба 30х60 мм, защитный кожух 150х150мм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150х150мм с диэлектрической пластиной, электрический клеммник, 4 усиливающие косынки, цвет черный по шкале RAL 9005</v>
      </c>
      <c r="C225" s="9">
        <f ca="1">IFERROR(__xludf.DUMMYFUNCTION("""COMPUTED_VALUE"""),6055.5)</f>
        <v>6055.5</v>
      </c>
      <c r="D225" s="6"/>
      <c r="E225" s="8"/>
    </row>
    <row r="226" spans="1:5" ht="89.25">
      <c r="A226" s="5" t="str">
        <f ca="1">IFERROR(__xludf.DUMMYFUNCTION("""COMPUTED_VALUE"""),"Стойка для считывателя Аякс 170х180 мм, настенная, оранжевая")</f>
        <v>Стойка для считывателя Аякс 170х180 мм, настенная, оранжевая</v>
      </c>
      <c r="B226" s="6" t="str">
        <f ca="1">IFERROR(__xludf.DUMMYFUNCTION("""COMPUTED_VALUE"""),"Настенная стойка для установки считывающих устройств СКУД , вынос от стены - 30 см, труба 30х60 мм, защитный кожух 170х180мм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- 30 см, труба 30х60 мм, защитный кожух 170х180мм с диэлектрической пластиной, 4 усиливающие косынки, электрический клеммник, цвет оранжевый по шкале RAL 2008</v>
      </c>
      <c r="C226" s="9">
        <f ca="1">IFERROR(__xludf.DUMMYFUNCTION("""COMPUTED_VALUE"""),6612)</f>
        <v>6612</v>
      </c>
      <c r="D226" s="6"/>
      <c r="E226" s="8"/>
    </row>
    <row r="227" spans="1:5" ht="89.25">
      <c r="A227" s="5" t="str">
        <f ca="1">IFERROR(__xludf.DUMMYFUNCTION("""COMPUTED_VALUE"""),"Стойка для считывателя Аякс 170х180 мм, настенная , черная")</f>
        <v>Стойка для считывателя Аякс 170х180 мм, настенная , черная</v>
      </c>
      <c r="B227" s="6" t="str">
        <f ca="1">IFERROR(__xludf.DUMMYFUNCTION("""COMPUTED_VALUE"""),"Настенная стойка для установки считывающих устройств СКУД, вынос от стены - 40 см, труба 30х60 мм, защитный кожух 170х180мм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- 40 см, труба 30х60 мм, защитный кожух 170х180мм с диэлектрической пластиной, электрический клеммник, 4 усиливающие косынки, цвет черный по шкале RAL 9005</v>
      </c>
      <c r="C227" s="9">
        <f ca="1">IFERROR(__xludf.DUMMYFUNCTION("""COMPUTED_VALUE"""),6363)</f>
        <v>6363</v>
      </c>
      <c r="D227" s="6"/>
      <c r="E227" s="8"/>
    </row>
    <row r="228" spans="1:5" ht="89.25">
      <c r="A228" s="5" t="str">
        <f ca="1">IFERROR(__xludf.DUMMYFUNCTION("""COMPUTED_VALUE"""),"Стойка для считывателя Аякс 150х250 мм, настенная, оранжевая")</f>
        <v>Стойка для считывателя Аякс 150х250 мм, настенная, оранжевая</v>
      </c>
      <c r="B228" s="6" t="str">
        <f ca="1">IFERROR(__xludf.DUMMYFUNCTION("""COMPUTED_VALUE"""),"Настенная стойка для установки считывающих устройств СКУД , вынос от стены - 40 см, труба 30х60 мм, защитный кожух 150х250мм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- 40 см, труба 30х60 мм, защитный кожух 150х250мм с диэлектрической пластиной, 4 усиливающие косынки, электрический клеммник, цвет оранжевый по шкале RAL 2008</v>
      </c>
      <c r="C228" s="9">
        <f ca="1">IFERROR(__xludf.DUMMYFUNCTION("""COMPUTED_VALUE"""),6612)</f>
        <v>6612</v>
      </c>
      <c r="D228" s="6"/>
      <c r="E228" s="8"/>
    </row>
    <row r="229" spans="1:5" ht="89.25">
      <c r="A229" s="5" t="str">
        <f ca="1">IFERROR(__xludf.DUMMYFUNCTION("""COMPUTED_VALUE"""),"Стойка для считывателя Аякс 150х250 мм, настенная , черная")</f>
        <v>Стойка для считывателя Аякс 150х250 мм, настенная , черная</v>
      </c>
      <c r="B229" s="6" t="str">
        <f ca="1">IFERROR(__xludf.DUMMYFUNCTION("""COMPUTED_VALUE"""),"Настенная стойка для установки считывающих устройств СКУД, вынос от стены - 30 см, труба 30х60 мм, защитный кожух 150х250мм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150х250мм с диэлектрической пластиной, электрический клеммник, 4 усиливающие косынки, цвет черный по шкале RAL 9005</v>
      </c>
      <c r="C229" s="9">
        <f ca="1">IFERROR(__xludf.DUMMYFUNCTION("""COMPUTED_VALUE"""),6363)</f>
        <v>6363</v>
      </c>
      <c r="D229" s="6"/>
      <c r="E229" s="8"/>
    </row>
    <row r="230" spans="1:5" ht="89.25">
      <c r="A230" s="5" t="str">
        <f ca="1">IFERROR(__xludf.DUMMYFUNCTION("""COMPUTED_VALUE"""),"Стойка для считывателя Аякс 300х400 мм, настенная, оранжевая")</f>
        <v>Стойка для считывателя Аякс 300х400 мм, настенная, оранжевая</v>
      </c>
      <c r="B230" s="6" t="str">
        <f ca="1">IFERROR(__xludf.DUMMYFUNCTION("""COMPUTED_VALUE"""),"Настенная стойка для установки считывающих устройств СКУД , вынос от стены - 30 см, труба 30х60 мм, защитный кожух 300х400мм с диэлектрической пластиной, 4 усиливающие косынки, электрический клеммник, цвет оранжевый по шкале RAL 2008")</f>
        <v>Настенная стойка для установки считывающих устройств СКУД , вынос от стены - 30 см, труба 30х60 мм, защитный кожух 300х400мм с диэлектрической пластиной, 4 усиливающие косынки, электрический клеммник, цвет оранжевый по шкале RAL 2008</v>
      </c>
      <c r="C230" s="9">
        <f ca="1">IFERROR(__xludf.DUMMYFUNCTION("""COMPUTED_VALUE"""),6457.5)</f>
        <v>6457.5</v>
      </c>
      <c r="D230" s="6"/>
      <c r="E230" s="8"/>
    </row>
    <row r="231" spans="1:5" ht="89.25">
      <c r="A231" s="5" t="str">
        <f ca="1">IFERROR(__xludf.DUMMYFUNCTION("""COMPUTED_VALUE"""),"Стойка для считывателя Аякс 300х400 мм, настенная , черная")</f>
        <v>Стойка для считывателя Аякс 300х400 мм, настенная , черная</v>
      </c>
      <c r="B231" s="6" t="str">
        <f ca="1">IFERROR(__xludf.DUMMYFUNCTION("""COMPUTED_VALUE"""),"Настенная стойка для установки считывающих устройств СКУД, вынос от стены - 30 см, труба 30х60 мм, защитный кожух 300х400мм с диэлектрической пластиной, электрический клеммник, 4 усиливающие косынки, цвет черный по шкале RAL 9005")</f>
        <v>Настенная стойка для установки считывающих устройств СКУД, вынос от стены - 30 см, труба 30х60 мм, защитный кожух 300х400мм с диэлектрической пластиной, электрический клеммник, 4 усиливающие косынки, цвет черный по шкале RAL 9005</v>
      </c>
      <c r="C231" s="9">
        <f ca="1">IFERROR(__xludf.DUMMYFUNCTION("""COMPUTED_VALUE"""),6457.5)</f>
        <v>6457.5</v>
      </c>
      <c r="D231" s="6"/>
      <c r="E231" s="8"/>
    </row>
    <row r="232" spans="1:5" ht="63.75">
      <c r="A232" s="5" t="str">
        <f ca="1">IFERROR(__xludf.DUMMYFUNCTION("""COMPUTED_VALUE"""),"Кожух защитный от стойки для считывателя Аякс 150х150 мм, оранжевый")</f>
        <v>Кожух защитный от стойки для считывателя Аякс 150х150 мм, оранжевый</v>
      </c>
      <c r="B232" s="6" t="str">
        <f ca="1">IFERROR(__xludf.DUMMYFUNCTION("""COMPUTED_VALUE"""),"Кожух защтный для установки считывающих устройств СКУД, 150х150 мм с диэлектрической пластиной, электрический клеммник, цвет оранжевый по шкале RAL 2008")</f>
        <v>Кожух защтный для установки считывающих устройств СКУД, 150х150 мм с диэлектрической пластиной, электрический клеммник, цвет оранжевый по шкале RAL 2008</v>
      </c>
      <c r="C232" s="6">
        <f ca="1">IFERROR(__xludf.DUMMYFUNCTION("""COMPUTED_VALUE"""),2310)</f>
        <v>2310</v>
      </c>
      <c r="D232" s="6"/>
      <c r="E232" s="8"/>
    </row>
    <row r="233" spans="1:5" ht="63.75">
      <c r="A233" s="5" t="str">
        <f ca="1">IFERROR(__xludf.DUMMYFUNCTION("""COMPUTED_VALUE"""),"Кожух защитный от стойки для считывателя Аякс 150х150 мм, черный")</f>
        <v>Кожух защитный от стойки для считывателя Аякс 150х150 мм, черный</v>
      </c>
      <c r="B233" s="6" t="str">
        <f ca="1">IFERROR(__xludf.DUMMYFUNCTION("""COMPUTED_VALUE"""),"Кожух защтный для установки считывающих устройств СКУД, 150х150 мм с диэлектрической пластиной, электрический клеммник, цвет черный по шкале RAL 9005")</f>
        <v>Кожух защтный для установки считывающих устройств СКУД, 150х150 мм с диэлектрической пластиной, электрический клеммник, цвет черный по шкале RAL 9005</v>
      </c>
      <c r="C233" s="6">
        <f ca="1">IFERROR(__xludf.DUMMYFUNCTION("""COMPUTED_VALUE"""),2310)</f>
        <v>2310</v>
      </c>
      <c r="D233" s="6"/>
      <c r="E233" s="8"/>
    </row>
    <row r="234" spans="1:5" ht="63.75">
      <c r="A234" s="5" t="str">
        <f ca="1">IFERROR(__xludf.DUMMYFUNCTION("""COMPUTED_VALUE"""),"Кожух защитный от стойки для считывателя Аякс 170х180 мм, оранжевый")</f>
        <v>Кожух защитный от стойки для считывателя Аякс 170х180 мм, оранжевый</v>
      </c>
      <c r="B234" s="6" t="str">
        <f ca="1">IFERROR(__xludf.DUMMYFUNCTION("""COMPUTED_VALUE"""),"Кожух защтный для установки считывающих устройств СКУД, 170х180 мм с диэлектрической пластиной, электрический клеммник, цвет оранжевый по шкале RAL 2008")</f>
        <v>Кожух защтный для установки считывающих устройств СКУД, 170х180 мм с диэлектрической пластиной, электрический клеммник, цвет оранжевый по шкале RAL 2008</v>
      </c>
      <c r="C234" s="6">
        <f ca="1">IFERROR(__xludf.DUMMYFUNCTION("""COMPUTED_VALUE"""),2541)</f>
        <v>2541</v>
      </c>
      <c r="D234" s="6"/>
      <c r="E234" s="8"/>
    </row>
    <row r="235" spans="1:5" ht="63.75">
      <c r="A235" s="5" t="str">
        <f ca="1">IFERROR(__xludf.DUMMYFUNCTION("""COMPUTED_VALUE"""),"Кожух защитный от стойки для считывателя Аякс 170х180 мм, черный")</f>
        <v>Кожух защитный от стойки для считывателя Аякс 170х180 мм, черный</v>
      </c>
      <c r="B235" s="6" t="str">
        <f ca="1">IFERROR(__xludf.DUMMYFUNCTION("""COMPUTED_VALUE"""),"Кожух защтный для установки считывающих устройств СКУД, 170х180 мм с диэлектрической пластиной, электрический клеммник, цвет черный по шкале RAL 9005")</f>
        <v>Кожух защтный для установки считывающих устройств СКУД, 170х180 мм с диэлектрической пластиной, электрический клеммник, цвет черный по шкале RAL 9005</v>
      </c>
      <c r="C235" s="6">
        <f ca="1">IFERROR(__xludf.DUMMYFUNCTION("""COMPUTED_VALUE"""),2541)</f>
        <v>2541</v>
      </c>
      <c r="D235" s="6"/>
      <c r="E235" s="8"/>
    </row>
    <row r="236" spans="1:5" ht="63.75">
      <c r="A236" s="5" t="str">
        <f ca="1">IFERROR(__xludf.DUMMYFUNCTION("""COMPUTED_VALUE"""),"Кожух защитный от стойки для считывателя Аякс 150х250 мм, оранжевый")</f>
        <v>Кожух защитный от стойки для считывателя Аякс 150х250 мм, оранжевый</v>
      </c>
      <c r="B236" s="6" t="str">
        <f ca="1">IFERROR(__xludf.DUMMYFUNCTION("""COMPUTED_VALUE"""),"Кожух защтный для установки считывающих устройств СКУД, 150х250 мм с диэлектрической пластиной, электрический клеммник, цвет оранжевый по шкале RAL 2008")</f>
        <v>Кожух защтный для установки считывающих устройств СКУД, 150х250 мм с диэлектрической пластиной, электрический клеммник, цвет оранжевый по шкале RAL 2008</v>
      </c>
      <c r="C236" s="6">
        <f ca="1">IFERROR(__xludf.DUMMYFUNCTION("""COMPUTED_VALUE"""),2772)</f>
        <v>2772</v>
      </c>
      <c r="D236" s="6"/>
      <c r="E236" s="8"/>
    </row>
    <row r="237" spans="1:5" ht="63.75">
      <c r="A237" s="5" t="str">
        <f ca="1">IFERROR(__xludf.DUMMYFUNCTION("""COMPUTED_VALUE"""),"Кожух защитный от стойки для считывателя Аякс 150х250 мм, черный")</f>
        <v>Кожух защитный от стойки для считывателя Аякс 150х250 мм, черный</v>
      </c>
      <c r="B237" s="6" t="str">
        <f ca="1">IFERROR(__xludf.DUMMYFUNCTION("""COMPUTED_VALUE"""),"Кожух защтный для установки считывающих устройств СКУД, 150х250 мм с диэлектрической пластиной, электрический клеммник, цвет черный по шкале RAL 9005")</f>
        <v>Кожух защтный для установки считывающих устройств СКУД, 150х250 мм с диэлектрической пластиной, электрический клеммник, цвет черный по шкале RAL 9005</v>
      </c>
      <c r="C237" s="6">
        <f ca="1">IFERROR(__xludf.DUMMYFUNCTION("""COMPUTED_VALUE"""),2772)</f>
        <v>2772</v>
      </c>
      <c r="D237" s="6"/>
      <c r="E237" s="8"/>
    </row>
    <row r="238" spans="1:5" ht="63.75">
      <c r="A238" s="5" t="str">
        <f ca="1">IFERROR(__xludf.DUMMYFUNCTION("""COMPUTED_VALUE"""),"Кожух защитный от стойки для считывателя Аякс 300х400 мм, оранжевый")</f>
        <v>Кожух защитный от стойки для считывателя Аякс 300х400 мм, оранжевый</v>
      </c>
      <c r="B238" s="6" t="str">
        <f ca="1">IFERROR(__xludf.DUMMYFUNCTION("""COMPUTED_VALUE"""),"Кожух защтный для установки считывающих устройств СКУД, 150х250 мм с диэлектрической пластиной, электрический клеммник, цвет оранжевый по шкале RAL 2008")</f>
        <v>Кожух защтный для установки считывающих устройств СКУД, 150х250 мм с диэлектрической пластиной, электрический клеммник, цвет оранжевый по шкале RAL 2008</v>
      </c>
      <c r="C238" s="6">
        <f ca="1">IFERROR(__xludf.DUMMYFUNCTION("""COMPUTED_VALUE"""),3234)</f>
        <v>3234</v>
      </c>
      <c r="D238" s="6"/>
      <c r="E238" s="8"/>
    </row>
    <row r="239" spans="1:5" ht="63.75">
      <c r="A239" s="5" t="str">
        <f ca="1">IFERROR(__xludf.DUMMYFUNCTION("""COMPUTED_VALUE"""),"Кожух защитный от стойки для считывателя Аякс 300х400 мм, черный")</f>
        <v>Кожух защитный от стойки для считывателя Аякс 300х400 мм, черный</v>
      </c>
      <c r="B239" s="6" t="str">
        <f ca="1">IFERROR(__xludf.DUMMYFUNCTION("""COMPUTED_VALUE"""),"Кожух защтный для установки считывающих устройств СКУД, 150х250 мм с диэлектрической пластиной, электрический клеммник, цвет черный по шкале RAL 9005")</f>
        <v>Кожух защтный для установки считывающих устройств СКУД, 150х250 мм с диэлектрической пластиной, электрический клеммник, цвет черный по шкале RAL 9005</v>
      </c>
      <c r="C239" s="6">
        <f ca="1">IFERROR(__xludf.DUMMYFUNCTION("""COMPUTED_VALUE"""),3234)</f>
        <v>3234</v>
      </c>
      <c r="D239" s="6"/>
      <c r="E239" s="8"/>
    </row>
    <row r="240" spans="1:5" ht="51">
      <c r="A240" s="5" t="str">
        <f ca="1">IFERROR(__xludf.DUMMYFUNCTION("""COMPUTED_VALUE"""),"ЗСК-535 «Алабай» Защитный сетчатый кожух  (для ИП 535-26-A «СЕВЕР», ИП 535-50 «СЕВЕР», ИП 535-26/В-A «СЕВЕР», ИП 535-50/Ex-A «СЕВЕР»)")</f>
        <v>ЗСК-535 «Алабай» Защитный сетчатый кожух  (для ИП 535-26-A «СЕВЕР», ИП 535-50 «СЕВЕР», ИП 535-26/В-A «СЕВЕР», ИП 535-50/Ex-A «СЕВЕР»)</v>
      </c>
      <c r="B240" s="6" t="str">
        <f ca="1">IFERROR(__xludf.DUMMYFUNCTION("""COMPUTED_VALUE"""),"Материал сетки - сталь. Диаметр 6 мм. Размеры: 160х160х90 мм. Цвет красный (По требованию заказчика возможна покраска в другой цвет).")</f>
        <v>Материал сетки - сталь. Диаметр 6 мм. Размеры: 160х160х90 мм. Цвет красный (По требованию заказчика возможна покраска в другой цвет).</v>
      </c>
      <c r="C240" s="9">
        <f ca="1">IFERROR(__xludf.DUMMYFUNCTION("""COMPUTED_VALUE"""),1848)</f>
        <v>1848</v>
      </c>
      <c r="D240" s="6"/>
      <c r="E240" s="8"/>
    </row>
    <row r="241" spans="1:5" ht="51">
      <c r="A241" s="5" t="str">
        <f ca="1">IFERROR(__xludf.DUMMYFUNCTION("""COMPUTED_VALUE"""),"ЗСК-212 «Алабай» Защитный сетчатый кожух (для ДИП, ИП)")</f>
        <v>ЗСК-212 «Алабай» Защитный сетчатый кожух (для ДИП, ИП)</v>
      </c>
      <c r="B241" s="6" t="str">
        <f ca="1">IFERROR(__xludf.DUMMYFUNCTION("""COMPUTED_VALUE"""),"Материал сетки - сталь. Диаметр 6 мм. Размеры: 158х130х78 мм. Цвет белый (По требованию заказчика возможна покраска в другой цвет).")</f>
        <v>Материал сетки - сталь. Диаметр 6 мм. Размеры: 158х130х78 мм. Цвет белый (По требованию заказчика возможна покраска в другой цвет).</v>
      </c>
      <c r="C241" s="9">
        <f ca="1">IFERROR(__xludf.DUMMYFUNCTION("""COMPUTED_VALUE"""),1265)</f>
        <v>1265</v>
      </c>
      <c r="D241" s="6"/>
      <c r="E241" s="8"/>
    </row>
    <row r="242" spans="1:5" ht="51">
      <c r="A242" s="5" t="str">
        <f ca="1">IFERROR(__xludf.DUMMYFUNCTION("""COMPUTED_VALUE"""),"Защитный Сетчатый Кожух ЗСК-Табло «Алабай»")</f>
        <v>Защитный Сетчатый Кожух ЗСК-Табло «Алабай»</v>
      </c>
      <c r="B242" s="6" t="str">
        <f ca="1">IFERROR(__xludf.DUMMYFUNCTION("""COMPUTED_VALUE"""),"Материал сетки - сталь. Диаметр 6 мм. Размеры: 350x170x40 мм. Цвет белый (По требованию заказчика возможна покраска в другой цвет).")</f>
        <v>Материал сетки - сталь. Диаметр 6 мм. Размеры: 350x170x40 мм. Цвет белый (По требованию заказчика возможна покраска в другой цвет).</v>
      </c>
      <c r="C242" s="9">
        <f ca="1">IFERROR(__xludf.DUMMYFUNCTION("""COMPUTED_VALUE"""),1056)</f>
        <v>1056</v>
      </c>
      <c r="D242" s="6"/>
      <c r="E242" s="8"/>
    </row>
    <row r="243" spans="1:5" ht="51">
      <c r="A243" s="5" t="str">
        <f ca="1">IFERROR(__xludf.DUMMYFUNCTION("""COMPUTED_VALUE"""),"Защитный Сетчатый Кожух ЗСК-Громкоговоритель «Алабай»")</f>
        <v>Защитный Сетчатый Кожух ЗСК-Громкоговоритель «Алабай»</v>
      </c>
      <c r="B243" s="6" t="str">
        <f ca="1">IFERROR(__xludf.DUMMYFUNCTION("""COMPUTED_VALUE"""),"Материал сетки - сталь. Диаметр 6 мм. Размеры: 275x390x135 мм. Цвет белый (По требованию заказчика возможна покраска в другой цвет).")</f>
        <v>Материал сетки - сталь. Диаметр 6 мм. Размеры: 275x390x135 мм. Цвет белый (По требованию заказчика возможна покраска в другой цвет).</v>
      </c>
      <c r="C243" s="9">
        <f ca="1">IFERROR(__xludf.DUMMYFUNCTION("""COMPUTED_VALUE"""),3200)</f>
        <v>3200</v>
      </c>
      <c r="D243" s="6"/>
      <c r="E243" s="8"/>
    </row>
    <row r="244" spans="1:5" ht="102">
      <c r="A244" s="5" t="str">
        <f ca="1">IFERROR(__xludf.DUMMYFUNCTION("""COMPUTED_VALUE"""),"Розетка внешнего запуска МОРОЗ автотранспортная аккумуляторная А5.50.097А 
АТФЕ.642616.173ТУ")</f>
        <v>Розетка внешнего запуска МОРОЗ автотранспортная аккумуляторная А5.50.097А 
АТФЕ.642616.173ТУ</v>
      </c>
      <c r="B244" s="6" t="str">
        <f ca="1">IFERROR(__xludf.DUMMYFUNCTION("""COMPUTED_VALUE"""),"предназначена для подключения к бортовой сети автотранспортного средства внешних источников питания. Корпус розетки выполнен из ударопрочного полиамида. Конструкция розетки исключает возможность переполюсовки при подключении вилки. Напряжение 24В, Ток 600"&amp;"А, IP20")</f>
        <v>предназначена для подключения к бортовой сети автотранспортного средства внешних источников питания. Корпус розетки выполнен из ударопрочного полиамида. Конструкция розетки исключает возможность переполюсовки при подключении вилки. Напряжение 24В, Ток 600А, IP20</v>
      </c>
      <c r="C244" s="9">
        <f ca="1">IFERROR(__xludf.DUMMYFUNCTION("""COMPUTED_VALUE"""),4290)</f>
        <v>4290</v>
      </c>
      <c r="D244" s="6"/>
      <c r="E244" s="8"/>
    </row>
    <row r="245" spans="1:5" ht="114.75">
      <c r="A245" s="5" t="str">
        <f ca="1">IFERROR(__xludf.DUMMYFUNCTION("""COMPUTED_VALUE"""),"Комплект ножевых клемм «+» и «-» для розетки внешнего запуска автотранспортной аккумуляторной А5.50.097А АТФЕ.685162.177ТУ")</f>
        <v>Комплект ножевых клемм «+» и «-» для розетки внешнего запуска автотранспортной аккумуляторной А5.50.097А АТФЕ.685162.177ТУ</v>
      </c>
      <c r="B245" s="6" t="str">
        <f ca="1">IFERROR(__xludf.DUMMYFUNCTION("""COMPUTED_VALUE"""),"предназначены для подключения к автотранспортной розетке внешнего запуска А5.50.097А кабелей от внешних пусковых устройств. Ножевые клеммы выполнены из меди. Конструкция ножевых клемм исключает возможность переполюсовки при подключении питающих кабелей к "&amp;"розетке. Напряжение 24В, Ток 600А.")</f>
        <v>предназначены для подключения к автотранспортной розетке внешнего запуска А5.50.097А кабелей от внешних пусковых устройств. Ножевые клеммы выполнены из меди. Конструкция ножевых клемм исключает возможность переполюсовки при подключении питающих кабелей к розетке. Напряжение 24В, Ток 600А.</v>
      </c>
      <c r="C245" s="9">
        <f ca="1">IFERROR(__xludf.DUMMYFUNCTION("""COMPUTED_VALUE"""),2145)</f>
        <v>2145</v>
      </c>
      <c r="D245" s="6"/>
      <c r="E245" s="8"/>
    </row>
    <row r="246" spans="1:5" ht="38.25">
      <c r="A246" s="5" t="str">
        <f ca="1">IFERROR(__xludf.DUMMYFUNCTION("""COMPUTED_VALUE"""),"ДМГ-40 (NO, NC, NO+NC, 2NO, 1NO+1NC, NO+NC NO+NC, 2NC)           
АТФЕ.425119.184")</f>
        <v>ДМГ-40 (NO, NC, NO+NC, 2NO, 1NO+1NC, NO+NC NO+NC, 2NC)           
АТФЕ.425119.184</v>
      </c>
      <c r="B246" s="6" t="str">
        <f ca="1">IFERROR(__xludf.DUMMYFUNCTION("""COMPUTED_VALUE"""),"Корпус нерж., вывод кабеля 1м., от минус 60°С до плюс 70°С, IP66/IP68, Расстояние срабатывания 40мм")</f>
        <v>Корпус нерж., вывод кабеля 1м., от минус 60°С до плюс 70°С, IP66/IP68, Расстояние срабатывания 40мм</v>
      </c>
      <c r="C246" s="9">
        <f ca="1">IFERROR(__xludf.DUMMYFUNCTION("""COMPUTED_VALUE"""),18810)</f>
        <v>18810</v>
      </c>
      <c r="D246" s="6"/>
      <c r="E246" s="8"/>
    </row>
    <row r="247" spans="1:5" ht="38.25">
      <c r="A247" s="5" t="str">
        <f ca="1">IFERROR(__xludf.DUMMYFUNCTION("""COMPUTED_VALUE"""),"ДМГ-100 (NO, NC, NO+NC, 2NO, 1NO+1NC, NO+NC NO+NC, 2NC)           
АТФЕ.425119.184")</f>
        <v>ДМГ-100 (NO, NC, NO+NC, 2NO, 1NO+1NC, NO+NC NO+NC, 2NC)           
АТФЕ.425119.184</v>
      </c>
      <c r="B247" s="6" t="str">
        <f ca="1">IFERROR(__xludf.DUMMYFUNCTION("""COMPUTED_VALUE"""),"Корпус нерж., вывод кабеля 1м., от минус 60°С до плюс 70°С, IP66/IP68, Расстояние срабатывания 100мм")</f>
        <v>Корпус нерж., вывод кабеля 1м., от минус 60°С до плюс 70°С, IP66/IP68, Расстояние срабатывания 100мм</v>
      </c>
      <c r="C247" s="9">
        <f ca="1">IFERROR(__xludf.DUMMYFUNCTION("""COMPUTED_VALUE"""),20020)</f>
        <v>20020</v>
      </c>
      <c r="D247" s="6"/>
      <c r="E247" s="8"/>
    </row>
    <row r="248" spans="1:5" ht="38.25">
      <c r="A248" s="5" t="str">
        <f ca="1">IFERROR(__xludf.DUMMYFUNCTION("""COMPUTED_VALUE"""),"ДМГ-200 (NO, NC, NO+NC, 2NO, 1NO+1NC, NO+NC NO+NC, 2NC)           
АТФЕ.425119.184")</f>
        <v>ДМГ-200 (NO, NC, NO+NC, 2NO, 1NO+1NC, NO+NC NO+NC, 2NC)           
АТФЕ.425119.184</v>
      </c>
      <c r="B248" s="6" t="str">
        <f ca="1">IFERROR(__xludf.DUMMYFUNCTION("""COMPUTED_VALUE"""),"Корпус нерж., вывод кабеля 1м., от минус 60°С до плюс 70°С, IP66/IP68, Расстояние срабатывания 200мм")</f>
        <v>Корпус нерж., вывод кабеля 1м., от минус 60°С до плюс 70°С, IP66/IP68, Расстояние срабатывания 200мм</v>
      </c>
      <c r="C248" s="9">
        <f ca="1">IFERROR(__xludf.DUMMYFUNCTION("""COMPUTED_VALUE"""),21780)</f>
        <v>21780</v>
      </c>
      <c r="D248" s="6"/>
      <c r="E248" s="8"/>
    </row>
    <row r="249" spans="1:5" ht="127.5">
      <c r="A249" s="5" t="str">
        <f ca="1">IFERROR(__xludf.DUMMYFUNCTION("""COMPUTED_VALUE"""),"Ех-замок FM-26 180 12В К (без датчика положения)
  РВ Ex mb I Mb X и 1Ex mb IIC T5 Gb X и Ex mb IIIC T95°oC Db X 
 АТФЕ.425729.156 ТУ")</f>
        <v>Ех-замок FM-26 180 12В К (без датчика положения)
  РВ Ex mb I Mb X и 1Ex mb IIC T5 Gb X и Ex mb IIIC T95°oC Db X 
 АТФЕ.425729.156 ТУ</v>
      </c>
      <c r="B249" s="6" t="str">
        <f ca="1">IFERROR(__xludf.DUMMYFUNCTION("""COMPUTED_VALUE"""),"Сила удержания 180 кг, 12 В, 210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49" s="9">
        <f ca="1">IFERROR(__xludf.DUMMYFUNCTION("""COMPUTED_VALUE"""),32820)</f>
        <v>32820</v>
      </c>
      <c r="D249" s="6"/>
      <c r="E249" s="8"/>
    </row>
    <row r="250" spans="1:5" ht="127.5">
      <c r="A250" s="5" t="str">
        <f ca="1">IFERROR(__xludf.DUMMYFUNCTION("""COMPUTED_VALUE"""),"Ех-замок FM-26 180 12В В (без датчика положения)
  РВ Ex mb I Mb X и 1Ex mb IIC T5 Gb X и Ex mb IIIC T95°oC Db X 
 АТФЕ.425729.156 ТУ")</f>
        <v>Ех-замок FM-26 180 12В В (без датчика положения)
  РВ Ex mb I Mb X и 1Ex mb IIC T5 Gb X и Ex mb IIIC T95°oC Db X 
 АТФЕ.425729.156 ТУ</v>
      </c>
      <c r="B250" s="6" t="str">
        <f ca="1">IFERROR(__xludf.DUMMYFUNCTION("""COMPUTED_VALUE"""),"Сила удержания 180 кг, 12 В, 210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комплек"&amp;"т крепления якоря. Рекомендуется использовать совместно с кнопкой Ех ВК200.")</f>
        <v>Сила удержания 180 кг, 12 В, 210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0" s="9">
        <f ca="1">IFERROR(__xludf.DUMMYFUNCTION("""COMPUTED_VALUE"""),32820)</f>
        <v>32820</v>
      </c>
      <c r="D250" s="6"/>
      <c r="E250" s="8"/>
    </row>
    <row r="251" spans="1:5" ht="127.5">
      <c r="A251" s="5" t="str">
        <f ca="1">IFERROR(__xludf.DUMMYFUNCTION("""COMPUTED_VALUE"""),"Ех-замок FM-26 180 12В Т (без датчика положения)
  РВ Ex mb I Mb X и 1Ex mb IIC T5 Gb X и Ex mb IIIC T95°oC Db X 
 АТФЕ.425729.156 ТУ")</f>
        <v>Ех-замок FM-26 180 12В Т (без датчика положения)
  РВ Ex mb I Mb X и 1Ex mb IIC T5 Gb X и Ex mb IIIC T95°oC Db X 
 АТФЕ.425729.156 ТУ</v>
      </c>
      <c r="B251" s="6" t="str">
        <f ca="1">IFERROR(__xludf.DUMMYFUNCTION("""COMPUTED_VALUE"""),"Сила удержания 180 кг, 12 В, 210 мА, без датчика положения,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ко"&amp;"мплект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1" s="9">
        <f ca="1">IFERROR(__xludf.DUMMYFUNCTION("""COMPUTED_VALUE"""),32820)</f>
        <v>32820</v>
      </c>
      <c r="D251" s="6"/>
      <c r="E251" s="8"/>
    </row>
    <row r="252" spans="1:5" ht="127.5">
      <c r="A252" s="5" t="str">
        <f ca="1">IFERROR(__xludf.DUMMYFUNCTION("""COMPUTED_VALUE"""),"Ех-замок FM-26 180 12В КМ8/КМ10/КМ12 (без датчика положения)
  РВ Ex mb I Mb X и 1Ex mb IIC T5 Gb X и Ex mb IIIC T95°oC Db X 
 АТФЕ.425729.156 ТУ")</f>
        <v>Ех-замок FM-26 180 12В КМ8/КМ10/КМ12 (без датчика положения)
  РВ Ex mb I Mb X и 1Ex mb IIC T5 Gb X и Ex mb IIIC T95°oC Db X 
 АТФЕ.425729.156 ТУ</v>
      </c>
      <c r="B252" s="6" t="str">
        <f ca="1">IFERROR(__xludf.DUMMYFUNCTION("""COMPUTED_VALUE"""),"Сила удержания 180 кг, 12 В, 210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яко"&amp;"ря, комплект крепления якоря. Рекомендуется использовать совместно с кнопкой Ех ВК200.")</f>
        <v>Сила удержания 180 кг, 12 В, 210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2" s="9">
        <f ca="1">IFERROR(__xludf.DUMMYFUNCTION("""COMPUTED_VALUE"""),32820)</f>
        <v>32820</v>
      </c>
      <c r="D252" s="6"/>
      <c r="E252" s="8"/>
    </row>
    <row r="253" spans="1:5" ht="127.5">
      <c r="A253" s="5" t="str">
        <f ca="1">IFERROR(__xludf.DUMMYFUNCTION("""COMPUTED_VALUE"""),"Ех-замок FM-26 180 12В К 
  РВ Ex mb I Mb X и 1Ex mb IIC T5 Gb X и Ex mb IIIC T95°oC Db X 
 АТФЕ.425729.156 ТУ")</f>
        <v>Ех-замок FM-26 180 12В К 
  РВ Ex mb I Mb X и 1Ex mb IIC T5 Gb X и Ex mb IIIC T95°oC Db X 
 АТФЕ.425729.156 ТУ</v>
      </c>
      <c r="B253" s="6" t="str">
        <f ca="1">IFERROR(__xludf.DUMMYFUNCTION("""COMPUTED_VALUE"""),"Сила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3" s="9">
        <f ca="1">IFERROR(__xludf.DUMMYFUNCTION("""COMPUTED_VALUE"""),33960)</f>
        <v>33960</v>
      </c>
      <c r="D253" s="6"/>
      <c r="E253" s="8"/>
    </row>
    <row r="254" spans="1:5" ht="127.5">
      <c r="A254" s="5" t="str">
        <f ca="1">IFERROR(__xludf.DUMMYFUNCTION("""COMPUTED_VALUE"""),"Ех-замок FM-26 180 12В В
  РВ Ex mb I Mb X и 1Ex mb IIC T5 Gb X и Ex mb IIIC T95°oC Db X 
 АТФЕ.425729.156 ТУ")</f>
        <v>Ех-замок FM-26 180 12В В
  РВ Ex mb I Mb X и 1Ex mb IIC T5 Gb X и Ex mb IIIC T95°oC Db X 
 АТФЕ.425729.156 ТУ</v>
      </c>
      <c r="B254" s="6" t="str">
        <f ca="1">IFERROR(__xludf.DUMMYFUNCTION("""COMPUTED_VALUE"""),"Сила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4" s="9">
        <f ca="1">IFERROR(__xludf.DUMMYFUNCTION("""COMPUTED_VALUE"""),33960)</f>
        <v>33960</v>
      </c>
      <c r="D254" s="6"/>
      <c r="E254" s="8"/>
    </row>
    <row r="255" spans="1:5" ht="127.5">
      <c r="A255" s="5" t="str">
        <f ca="1">IFERROR(__xludf.DUMMYFUNCTION("""COMPUTED_VALUE"""),"Ех-замок FM-26 180 12В Т 
  РВ Ex mb I Mb X и 1Ex mb IIC T5 Gb X и Ex mb IIIC T95°oC Db X 
 АТФЕ.425729.156 ТУ")</f>
        <v>Ех-замок FM-26 180 12В Т 
  РВ Ex mb I Mb X и 1Ex mb IIC T5 Gb X и Ex mb IIIC T95°oC Db X 
 АТФЕ.425729.156 ТУ</v>
      </c>
      <c r="B255" s="6" t="str">
        <f ca="1">IFERROR(__xludf.DUMMYFUNCTION("""COMPUTED_VALUE"""),"Сила удержания 180 кг, с герконовым датчиком положения, 12 В, 210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крепления"&amp;"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5" s="9">
        <f ca="1">IFERROR(__xludf.DUMMYFUNCTION("""COMPUTED_VALUE"""),33960)</f>
        <v>33960</v>
      </c>
      <c r="D255" s="6"/>
      <c r="E255" s="8"/>
    </row>
    <row r="256" spans="1:5" ht="127.5">
      <c r="A256" s="5" t="str">
        <f ca="1">IFERROR(__xludf.DUMMYFUNCTION("""COMPUTED_VALUE"""),"Ех-замок FM-26 180 12В КМ8/КМ10/КМ12
  РВ Ex mb I Mb X и 1Ex mb IIC T5 Gb X и Ex mb IIIC T95°oC Db X 
 АТФЕ.425729.156 ТУ")</f>
        <v>Ех-замок FM-26 180 12В КМ8/КМ10/КМ12
  РВ Ex mb I Mb X и 1Ex mb IIC T5 Gb X и Ex mb IIIC T95°oC Db X 
 АТФЕ.425729.156 ТУ</v>
      </c>
      <c r="B256" s="6" t="str">
        <f ca="1">IFERROR(__xludf.DUMMYFUNCTION("""COMPUTED_VALUE"""),"Сила удержания 180 кг, с герконовым датчиком положения, 12 В, 210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кре"&amp;"пления якоря, комплект крепления якоря. Рекомендуется использовать совместно с кнопкой Ех ВК200.")</f>
        <v>Сила удержания 180 кг, с герконовым датчиком положения, 12 В, 210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6" s="9">
        <f ca="1">IFERROR(__xludf.DUMMYFUNCTION("""COMPUTED_VALUE"""),33960)</f>
        <v>33960</v>
      </c>
      <c r="D256" s="6"/>
      <c r="E256" s="8"/>
    </row>
    <row r="257" spans="1:5" ht="127.5">
      <c r="A257" s="5" t="str">
        <f ca="1">IFERROR(__xludf.DUMMYFUNCTION("""COMPUTED_VALUE"""),"Ех-замок FM-26 180 24В К (без датчика положения)
  РВ Ex mb I Mb X и 1Ex mb IIC T5 Gb X и Ex mb IIIC T95°oC Db X 
 АТФЕ.425729.156 ТУ")</f>
        <v>Ех-замок FM-26 180 24В К (без датчика положения)
  РВ Ex mb I Mb X и 1Ex mb IIC T5 Gb X и Ex mb IIIC T95°oC Db X 
 АТФЕ.425729.156 ТУ</v>
      </c>
      <c r="B257" s="6" t="str">
        <f ca="1">IFERROR(__xludf.DUMMYFUNCTION("""COMPUTED_VALUE"""),"Сила удержания 180 кг, 24 В, 120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180 кг, 24 В, 120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7" s="9">
        <f ca="1">IFERROR(__xludf.DUMMYFUNCTION("""COMPUTED_VALUE"""),32820)</f>
        <v>32820</v>
      </c>
      <c r="D257" s="6"/>
      <c r="E257" s="8"/>
    </row>
    <row r="258" spans="1:5" ht="127.5">
      <c r="A258" s="5" t="str">
        <f ca="1">IFERROR(__xludf.DUMMYFUNCTION("""COMPUTED_VALUE"""),"Ех-замок FM-26 180 24В В (без датчика положения)
  РВ Ex mb I Mb X и 1Ex mb IIC T5 Gb X и Ex mb IIIC T95°oC Db X 
 АТФЕ.425729.156 ТУ")</f>
        <v>Ех-замок FM-26 180 24В В (без датчика положения)
  РВ Ex mb I Mb X и 1Ex mb IIC T5 Gb X и Ex mb IIIC T95°oC Db X 
 АТФЕ.425729.156 ТУ</v>
      </c>
      <c r="B258" s="6" t="str">
        <f ca="1">IFERROR(__xludf.DUMMYFUNCTION("""COMPUTED_VALUE"""),"Сила удержания 180 кг, 24 В, 120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комплек"&amp;"т крепления якоря. Рекомендуется использовать совместно с кнопкой Ех ВК200.")</f>
        <v>Сила удержания 180 кг, 24 В, 120 мА, без датчика положения, вариант прокладки кабеля: бронекабель,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8" s="9">
        <f ca="1">IFERROR(__xludf.DUMMYFUNCTION("""COMPUTED_VALUE"""),32820)</f>
        <v>32820</v>
      </c>
      <c r="D258" s="6"/>
      <c r="E258" s="8"/>
    </row>
    <row r="259" spans="1:5" ht="114.75">
      <c r="A259" s="5" t="str">
        <f ca="1">IFERROR(__xludf.DUMMYFUNCTION("""COMPUTED_VALUE"""),"Ех-замок FM-26 180 24В Т (без датчика положения)
  РВ Ex mb I Mb X и 1Ex mb IIC T5 Gb X и Ex mb IIIC T95°oC Db X 
 АТФЕ.425729.156 ТУ")</f>
        <v>Ех-замок FM-26 180 24В Т (без датчика положения)
  РВ Ex mb I Mb X и 1Ex mb IIC T5 Gb X и Ex mb IIIC T95°oC Db X 
 АТФЕ.425729.156 ТУ</v>
      </c>
      <c r="B259" s="6" t="str">
        <f ca="1">IFERROR(__xludf.DUMMYFUNCTION("""COMPUTED_VALUE"""),"Сила удержания 180 кг,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якоря."&amp;" Рекомендуется использовать совместно с кнопкой Ех ВК200.")</f>
        <v>Сила удержания 180 кг,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59" s="9">
        <f ca="1">IFERROR(__xludf.DUMMYFUNCTION("""COMPUTED_VALUE"""),32820)</f>
        <v>32820</v>
      </c>
      <c r="D259" s="6"/>
      <c r="E259" s="8"/>
    </row>
    <row r="260" spans="1:5" ht="127.5">
      <c r="A260" s="5" t="str">
        <f ca="1">IFERROR(__xludf.DUMMYFUNCTION("""COMPUTED_VALUE"""),"Ех-замок FM-26 180 24В КМ8/КМ10/КМ12 (без датчика положения)
  РВ Ex mb I Mb X и 1Ex mb IIC T5 Gb X и Ex mb IIIC T95°oC Db X 
 АТФЕ.425729.156 ТУ")</f>
        <v>Ех-замок FM-26 180 24В КМ8/КМ10/КМ12 (без датчика положения)
  РВ Ex mb I Mb X и 1Ex mb IIC T5 Gb X и Ex mb IIIC T95°oC Db X 
 АТФЕ.425729.156 ТУ</v>
      </c>
      <c r="B260" s="6" t="str">
        <f ca="1">IFERROR(__xludf.DUMMYFUNCTION("""COMPUTED_VALUE"""),"Сила удержания 180 кг, 24 В, 120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яко"&amp;"ря, комплект крепления якоря. Рекомендуется использовать совместно с кнопкой Ех ВК200.")</f>
        <v>Сила удержания 180 кг, 24 В, 120 мА, без датчика положения,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0" s="9">
        <f ca="1">IFERROR(__xludf.DUMMYFUNCTION("""COMPUTED_VALUE"""),32820)</f>
        <v>32820</v>
      </c>
      <c r="D260" s="6"/>
      <c r="E260" s="8"/>
    </row>
    <row r="261" spans="1:5" ht="127.5">
      <c r="A261" s="5" t="str">
        <f ca="1">IFERROR(__xludf.DUMMYFUNCTION("""COMPUTED_VALUE"""),"Ех-замок FM-26 180 24В К 
  РВ Ex mb I Mb X и 1Ex mb IIC T5 Gb X и Ex mb IIIC T95°oC Db X 
 АТФЕ.425729.156 ТУ")</f>
        <v>Ех-замок FM-26 180 24В К 
  РВ Ex mb I Mb X и 1Ex mb IIC T5 Gb X и Ex mb IIIC T95°oC Db X 
 АТФЕ.425729.156 ТУ</v>
      </c>
      <c r="B261" s="6" t="str">
        <f ca="1">IFERROR(__xludf.DUMMYFUNCTION("""COMPUTED_VALUE"""),"Сила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1" s="9">
        <f ca="1">IFERROR(__xludf.DUMMYFUNCTION("""COMPUTED_VALUE"""),33960)</f>
        <v>33960</v>
      </c>
      <c r="D261" s="6"/>
      <c r="E261" s="8"/>
    </row>
    <row r="262" spans="1:5" ht="127.5">
      <c r="A262" s="5" t="str">
        <f ca="1">IFERROR(__xludf.DUMMYFUNCTION("""COMPUTED_VALUE"""),"Ех-замок FM-26 180 24В В
  РВ Ex mb I Mb X и 1Ex mb IIC T5 Gb X и Ex mb IIIC T95°oC Db X 
 АТФЕ.425729.156 ТУ")</f>
        <v>Ех-замок FM-26 180 24В В
  РВ Ex mb I Mb X и 1Ex mb IIC T5 Gb X и Ex mb IIIC T95°oC Db X 
 АТФЕ.425729.156 ТУ</v>
      </c>
      <c r="B262" s="6" t="str">
        <f ca="1">IFERROR(__xludf.DUMMYFUNCTION("""COMPUTED_VALUE"""),"Сила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2" s="9">
        <f ca="1">IFERROR(__xludf.DUMMYFUNCTION("""COMPUTED_VALUE"""),33960)</f>
        <v>33960</v>
      </c>
      <c r="D262" s="6"/>
      <c r="E262" s="8"/>
    </row>
    <row r="263" spans="1:5" ht="127.5">
      <c r="A263" s="5" t="str">
        <f ca="1">IFERROR(__xludf.DUMMYFUNCTION("""COMPUTED_VALUE"""),"Ех-замок FM-26 180 24В Т 
  РВ Ex mb I Mb X и 1Ex mb IIC T5 Gb X и Ex mb IIIC T95°oC Db X 
 АТФЕ.425729.156 ТУ")</f>
        <v>Ех-замок FM-26 180 24В Т 
  РВ Ex mb I Mb X и 1Ex mb IIC T5 Gb X и Ex mb IIIC T95°oC Db X 
 АТФЕ.425729.156 ТУ</v>
      </c>
      <c r="B263" s="6" t="str">
        <f ca="1">IFERROR(__xludf.DUMMYFUNCTION("""COMPUTED_VALUE"""),"Сила удержания 180 кг, с герконовым датчиком положения,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крепления"&amp;"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трубная проводка,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3" s="9">
        <f ca="1">IFERROR(__xludf.DUMMYFUNCTION("""COMPUTED_VALUE"""),33960)</f>
        <v>33960</v>
      </c>
      <c r="D263" s="6"/>
      <c r="E263" s="8"/>
    </row>
    <row r="264" spans="1:5" ht="127.5">
      <c r="A264" s="5" t="str">
        <f ca="1">IFERROR(__xludf.DUMMYFUNCTION("""COMPUTED_VALUE"""),"Ех-замок FM-26 180 24В КМ8/КМ10/КМ12
  РВ Ex mb I Mb X и 1Ex mb IIC T5 Gb X и Ex mb IIIC T95°oC Db X 
 АТФЕ.425729.156 ТУ")</f>
        <v>Ех-замок FM-26 180 24В КМ8/КМ10/КМ12
  РВ Ex mb I Mb X и 1Ex mb IIC T5 Gb X и Ex mb IIIC T95°oC Db X 
 АТФЕ.425729.156 ТУ</v>
      </c>
      <c r="B264" s="6" t="str">
        <f ca="1">IFERROR(__xludf.DUMMYFUNCTION("""COMPUTED_VALUE"""),"Сила удержания 180 кг, с герконовым датчиком положения, 24 В, 120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кре"&amp;"пления якоря, комплект крепления якоря. Рекомендуется использовать совместно с кнопкой Ех ВК200.")</f>
        <v>Сила удержания 180 кг, с герконовым датчиком положения, 24 В, 120 мА, вариант прокладки кабеля: кабель в металлорукаве,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4" s="9">
        <f ca="1">IFERROR(__xludf.DUMMYFUNCTION("""COMPUTED_VALUE"""),33960)</f>
        <v>33960</v>
      </c>
      <c r="D264" s="6"/>
      <c r="E264" s="8"/>
    </row>
    <row r="265" spans="1:5" ht="140.25">
      <c r="A265" s="5" t="str">
        <f ca="1">IFERROR(__xludf.DUMMYFUNCTION("""COMPUTED_VALUE"""),"Ех-замок FM-26 250 12В К (без датчика положения)
  РВ Ex mb I Mb X и 1Ex mb IIC T5 Gb X и Ex mb IIIC T95°oC Db X 
 АТФЕ.425729.156 ТУ")</f>
        <v>Ех-замок FM-26 250 12В К (без датчика положения)
  РВ Ex mb I Mb X и 1Ex mb IIC T5 Gb X и Ex mb IIIC T95°oC Db X 
 АТФЕ.425729.156 ТУ</v>
      </c>
      <c r="B265" s="6" t="str">
        <f ca="1">IFERROR(__xludf.DUMMYFUNCTION("""COMPUTED_VALUE"""),"Сила удержания 250 кг, 12 В, 300 мА, без датчика положения,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5" s="9">
        <f ca="1">IFERROR(__xludf.DUMMYFUNCTION("""COMPUTED_VALUE"""),41800)</f>
        <v>41800</v>
      </c>
      <c r="D265" s="6"/>
      <c r="E265" s="8"/>
    </row>
    <row r="266" spans="1:5" ht="140.25">
      <c r="A266" s="5" t="str">
        <f ca="1">IFERROR(__xludf.DUMMYFUNCTION("""COMPUTED_VALUE"""),"Ех-замок FM-26 250 12В В (без датчика положения)
  РВ Ex mb I Mb X и 1Ex mb IIC T5 Gb X и Ex mb IIIC T95°oC Db X 
 АТФЕ.425729.156 ТУ")</f>
        <v>Ех-замок FM-26 250 12В В (без датчика положения)
  РВ Ex mb I Mb X и 1Ex mb IIC T5 Gb X и Ex mb IIIC T95°oC Db X 
 АТФЕ.425729.156 ТУ</v>
      </c>
      <c r="B266" s="6" t="str">
        <f ca="1">IFERROR(__xludf.DUMMYFUNCTION("""COMPUTED_VALUE"""),"Сила удержания 250 кг, 12 В, 300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6" s="9">
        <f ca="1">IFERROR(__xludf.DUMMYFUNCTION("""COMPUTED_VALUE"""),41800)</f>
        <v>41800</v>
      </c>
      <c r="D266" s="6"/>
      <c r="E266" s="8"/>
    </row>
    <row r="267" spans="1:5" ht="140.25">
      <c r="A267" s="5" t="str">
        <f ca="1">IFERROR(__xludf.DUMMYFUNCTION("""COMPUTED_VALUE"""),"Ех-замок FM-26 250 12В Т (без датчика положения)
  РВ Ex mb I Mb X и 1Ex mb IIC T5 Gb X и Ex mb IIIC T95°oC Db X 
 АТФЕ.425729.156 ТУ")</f>
        <v>Ех-замок FM-26 250 12В Т (без датчика положения)
  РВ Ex mb I Mb X и 1Ex mb IIC T5 Gb X и Ex mb IIIC T95°oC Db X 
 АТФЕ.425729.156 ТУ</v>
      </c>
      <c r="B267" s="6" t="str">
        <f ca="1">IFERROR(__xludf.DUMMYFUNCTION("""COMPUTED_VALUE"""),"Сила удержания 250 кг, 12 В, 300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7" s="9">
        <f ca="1">IFERROR(__xludf.DUMMYFUNCTION("""COMPUTED_VALUE"""),41800)</f>
        <v>41800</v>
      </c>
      <c r="D267" s="6"/>
      <c r="E267" s="8"/>
    </row>
    <row r="268" spans="1:5" ht="140.25">
      <c r="A268" s="5" t="str">
        <f ca="1">IFERROR(__xludf.DUMMYFUNCTION("""COMPUTED_VALUE"""),"Ех-замок FM-26 250 12В КМ8/КМ10/КМ12 (без датчика положения)
  РВ Ex mb I Mb X и 1Ex mb IIC T5 Gb X и Ex mb IIIC T95°oC Db X 
 АТФЕ.425729.156 ТУ")</f>
        <v>Ех-замок FM-26 250 12В КМ8/КМ10/КМ12 (без датчика положения)
  РВ Ex mb I Mb X и 1Ex mb IIC T5 Gb X и Ex mb IIIC T95°oC Db X 
 АТФЕ.425729.156 ТУ</v>
      </c>
      <c r="B268" s="6" t="str">
        <f ca="1">IFERROR(__xludf.DUMMYFUNCTION("""COMPUTED_VALUE"""),"Сила удержания 250 кг, 12 В, 300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250 кг, 12 В, 300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8" s="9">
        <f ca="1">IFERROR(__xludf.DUMMYFUNCTION("""COMPUTED_VALUE"""),41800)</f>
        <v>41800</v>
      </c>
      <c r="D268" s="6"/>
      <c r="E268" s="8"/>
    </row>
    <row r="269" spans="1:5" ht="153">
      <c r="A269" s="5" t="str">
        <f ca="1">IFERROR(__xludf.DUMMYFUNCTION("""COMPUTED_VALUE"""),"Ех-замок FM-26 250 12В К 
  РВ Ex mb I Mb X и 1Ex mb IIC T5 Gb X и Ex mb IIIC T95°oC Db X 
 АТФЕ.425729.156 ТУ")</f>
        <v>Ех-замок FM-26 250 12В К 
  РВ Ex mb I Mb X и 1Ex mb IIC T5 Gb X и Ex mb IIIC T95°oC Db X 
 АТФЕ.425729.156 ТУ</v>
      </c>
      <c r="B269" s="6" t="str">
        <f ca="1">IFERROR(__xludf.DUMMYFUNCTION("""COMPUTED_VALUE"""),"Сила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69" s="9">
        <f ca="1">IFERROR(__xludf.DUMMYFUNCTION("""COMPUTED_VALUE"""),43175)</f>
        <v>43175</v>
      </c>
      <c r="D269" s="6"/>
      <c r="E269" s="8"/>
    </row>
    <row r="270" spans="1:5" ht="153">
      <c r="A270" s="5" t="str">
        <f ca="1">IFERROR(__xludf.DUMMYFUNCTION("""COMPUTED_VALUE"""),"Ех-замок FM-26 250 12В В
  РВ Ex mb I Mb X и 1Ex mb IIC T5 Gb X и Ex mb IIIC T95°oC Db X 
 АТФЕ.425729.156 ТУ")</f>
        <v>Ех-замок FM-26 250 12В В
  РВ Ex mb I Mb X и 1Ex mb IIC T5 Gb X и Ex mb IIIC T95°oC Db X 
 АТФЕ.425729.156 ТУ</v>
      </c>
      <c r="B270" s="6" t="str">
        <f ca="1">IFERROR(__xludf.DUMMYFUNCTION("""COMPUTED_VALUE"""),"Сила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0" s="9">
        <f ca="1">IFERROR(__xludf.DUMMYFUNCTION("""COMPUTED_VALUE"""),43175)</f>
        <v>43175</v>
      </c>
      <c r="D270" s="6"/>
      <c r="E270" s="8"/>
    </row>
    <row r="271" spans="1:5" ht="153">
      <c r="A271" s="5" t="str">
        <f ca="1">IFERROR(__xludf.DUMMYFUNCTION("""COMPUTED_VALUE"""),"Ех-замок FM-26 250 12В Т 
  РВ Ex mb I Mb X и 1Ex mb IIC T5 Gb X и Ex mb IIIC T95°oC Db X 
 АТФЕ.425729.156 ТУ")</f>
        <v>Ех-замок FM-26 250 12В Т 
  РВ Ex mb I Mb X и 1Ex mb IIC T5 Gb X и Ex mb IIIC T95°oC Db X 
 АТФЕ.425729.156 ТУ</v>
      </c>
      <c r="B271" s="6" t="str">
        <f ca="1">IFERROR(__xludf.DUMMYFUNCTION("""COMPUTED_VALUE"""),"Сила удержания 250 кг, с герконовым датчиком положения, 12 В, 300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1" s="9">
        <f ca="1">IFERROR(__xludf.DUMMYFUNCTION("""COMPUTED_VALUE"""),43175)</f>
        <v>43175</v>
      </c>
      <c r="D271" s="6"/>
      <c r="E271" s="8"/>
    </row>
    <row r="272" spans="1:5" ht="153">
      <c r="A272" s="5" t="str">
        <f ca="1">IFERROR(__xludf.DUMMYFUNCTION("""COMPUTED_VALUE"""),"Ех-замок FM-26 250 12В КМ8/КМ10/КМ12
  РВ Ex mb I Mb X и 1Ex mb IIC T5 Gb X и Ex mb IIIC T95°oC Db X 
 АТФЕ.425729.156 ТУ")</f>
        <v>Ех-замок FM-26 250 12В КМ8/КМ10/КМ12
  РВ Ex mb I Mb X и 1Ex mb IIC T5 Gb X и Ex mb IIIC T95°oC Db X 
 АТФЕ.425729.156 ТУ</v>
      </c>
      <c r="B272" s="6" t="str">
        <f ca="1">IFERROR(__xludf.DUMMYFUNCTION("""COMPUTED_VALUE"""),"Сила удержания 250 кг, с герконовым датчиком положения, 12 В, 300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12 В, 300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2" s="9">
        <f ca="1">IFERROR(__xludf.DUMMYFUNCTION("""COMPUTED_VALUE"""),43175)</f>
        <v>43175</v>
      </c>
      <c r="D272" s="6"/>
      <c r="E272" s="8"/>
    </row>
    <row r="273" spans="1:5" ht="127.5">
      <c r="A273" s="5" t="str">
        <f ca="1">IFERROR(__xludf.DUMMYFUNCTION("""COMPUTED_VALUE"""),"Ех-замок FM-26 250 24В К (без датчика положения)
  РВ Ex mb I Mb X и 1Ex mb IIC T5 Gb X и Ex mb IIIC T95°oC Db X 
 АТФЕ.425729.156 ТУ")</f>
        <v>Ех-замок FM-26 250 24В К (без датчика положения)
  РВ Ex mb I Mb X и 1Ex mb IIC T5 Gb X и Ex mb IIIC T95°oC Db X 
 АТФЕ.425729.156 ТУ</v>
      </c>
      <c r="B273" s="6" t="str">
        <f ca="1">IFERROR(__xludf.DUMMYFUNCTION("""COMPUTED_VALUE"""),"Сила удержания 250 кг, 24 В, 150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"&amp;"комплект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3" s="9">
        <f ca="1">IFERROR(__xludf.DUMMYFUNCTION("""COMPUTED_VALUE"""),41800)</f>
        <v>41800</v>
      </c>
      <c r="D273" s="6"/>
      <c r="E273" s="8"/>
    </row>
    <row r="274" spans="1:5" ht="140.25">
      <c r="A274" s="5" t="str">
        <f ca="1">IFERROR(__xludf.DUMMYFUNCTION("""COMPUTED_VALUE"""),"Ех-замок FM-26 250 24В В (без датчика положения)
  РВ Ex mb I Mb X и 1Ex mb IIC T5 Gb X и Ex mb IIIC T95°oC Db X 
 АТФЕ.425729.156 ТУ")</f>
        <v>Ех-замок FM-26 250 24В В (без датчика положения)
  РВ Ex mb I Mb X и 1Ex mb IIC T5 Gb X и Ex mb IIIC T95°oC Db X 
 АТФЕ.425729.156 ТУ</v>
      </c>
      <c r="B274" s="6" t="str">
        <f ca="1">IFERROR(__xludf.DUMMYFUNCTION("""COMPUTED_VALUE"""),"Сила удержания 250 кг, 24 В, 150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бронекабель,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4" s="9">
        <f ca="1">IFERROR(__xludf.DUMMYFUNCTION("""COMPUTED_VALUE"""),41800)</f>
        <v>41800</v>
      </c>
      <c r="D274" s="6"/>
      <c r="E274" s="8"/>
    </row>
    <row r="275" spans="1:5" ht="140.25">
      <c r="A275" s="5" t="str">
        <f ca="1">IFERROR(__xludf.DUMMYFUNCTION("""COMPUTED_VALUE"""),"Ех-замок FM-26 250 124В Т (без датчика положения)
  РВ Ex mb I Mb X и 1Ex mb IIC T5 Gb X и Ex mb IIIC T95°oC Db X 
 АТФЕ.425729.156 ТУ")</f>
        <v>Ех-замок FM-26 250 124В Т (без датчика положения)
  РВ Ex mb I Mb X и 1Ex mb IIC T5 Gb X и Ex mb IIIC T95°oC Db X 
 АТФЕ.425729.156 ТУ</v>
      </c>
      <c r="B275" s="6" t="str">
        <f ca="1">IFERROR(__xludf.DUMMYFUNCTION("""COMPUTED_VALUE"""),"Сила удержания 250 кг, 24 В, 150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5" s="9">
        <f ca="1">IFERROR(__xludf.DUMMYFUNCTION("""COMPUTED_VALUE"""),41800)</f>
        <v>41800</v>
      </c>
      <c r="D275" s="6"/>
      <c r="E275" s="8"/>
    </row>
    <row r="276" spans="1:5" ht="140.25">
      <c r="A276" s="5" t="str">
        <f ca="1">IFERROR(__xludf.DUMMYFUNCTION("""COMPUTED_VALUE"""),"Ех-замок FM-26 250 24В КМ8/КМ10/КМ12 (без датчика положения)
  РВ Ex mb I Mb X и 1Ex mb IIC T5 Gb X и Ex mb IIIC T95°oC Db X 
 АТФЕ.425729.156 ТУ")</f>
        <v>Ех-замок FM-26 250 24В КМ8/КМ10/КМ12 (без датчика положения)
  РВ Ex mb I Mb X и 1Ex mb IIC T5 Gb X и Ex mb IIIC T95°oC Db X 
 АТФЕ.425729.156 ТУ</v>
      </c>
      <c r="B276" s="6" t="str">
        <f ca="1">IFERROR(__xludf.DUMMYFUNCTION("""COMPUTED_VALUE"""),"Сила удержания 250 кг, 24 В, 150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250 кг, 24 В, 150 мА, без датчика положения,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6" s="9">
        <f ca="1">IFERROR(__xludf.DUMMYFUNCTION("""COMPUTED_VALUE"""),41800)</f>
        <v>41800</v>
      </c>
      <c r="D276" s="6"/>
      <c r="E276" s="8"/>
    </row>
    <row r="277" spans="1:5" ht="153">
      <c r="A277" s="5" t="str">
        <f ca="1">IFERROR(__xludf.DUMMYFUNCTION("""COMPUTED_VALUE"""),"Ех-замок FM-26 250 24В К 
  РВ Ex mb I Mb X и 1Ex mb IIC T5 Gb X и Ex mb IIIC T95°oC Db X 
 АТФЕ.425729.156 ТУ")</f>
        <v>Ех-замок FM-26 250 24В К 
  РВ Ex mb I Mb X и 1Ex mb IIC T5 Gb X и Ex mb IIIC T95°oC Db X 
 АТФЕ.425729.156 ТУ</v>
      </c>
      <c r="B277" s="6" t="str">
        <f ca="1">IFERROR(__xludf.DUMMYFUNCTION("""COMPUTED_VALUE"""),"Сила удержания 250 кг, с герконовым датчиком положения, 24 В, 120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120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7" s="9">
        <f ca="1">IFERROR(__xludf.DUMMYFUNCTION("""COMPUTED_VALUE"""),43175)</f>
        <v>43175</v>
      </c>
      <c r="D277" s="6"/>
      <c r="E277" s="8"/>
    </row>
    <row r="278" spans="1:5" ht="153">
      <c r="A278" s="5" t="str">
        <f ca="1">IFERROR(__xludf.DUMMYFUNCTION("""COMPUTED_VALUE"""),"Ех-замок FM-26 250 24В В
  РВ Ex mb I Mb X и 1Ex mb IIC T5 Gb X и Ex mb IIIC T95°oC Db X 
 АТФЕ.425729.156 ТУ")</f>
        <v>Ех-замок FM-26 250 24В В
  РВ Ex mb I Mb X и 1Ex mb IIC T5 Gb X и Ex mb IIIC T95°oC Db X 
 АТФЕ.425729.156 ТУ</v>
      </c>
      <c r="B278" s="6" t="str">
        <f ca="1">IFERROR(__xludf.DUMMYFUNCTION("""COMPUTED_VALUE"""),"Сила удержания 250 кг, с герконовым датчиком положения, 24 В, 150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открытая прокладка,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8" s="9">
        <f ca="1">IFERROR(__xludf.DUMMYFUNCTION("""COMPUTED_VALUE"""),43175)</f>
        <v>43175</v>
      </c>
      <c r="D278" s="6"/>
      <c r="E278" s="8"/>
    </row>
    <row r="279" spans="1:5" ht="153">
      <c r="A279" s="5" t="str">
        <f ca="1">IFERROR(__xludf.DUMMYFUNCTION("""COMPUTED_VALUE"""),"Ех-замок FM-26 250 24В Т 
  РВ Ex mb I Mb X и 1Ex mb IIC T5 Gb X и Ex mb IIIC T95°oC Db X 
 АТФЕ.425729.156 ТУ")</f>
        <v>Ех-замок FM-26 250 24В Т 
  РВ Ex mb I Mb X и 1Ex mb IIC T5 Gb X и Ex mb IIIC T95°oC Db X 
 АТФЕ.425729.156 ТУ</v>
      </c>
      <c r="B279" s="6" t="str">
        <f ca="1">IFERROR(__xludf.DUMMYFUNCTION("""COMPUTED_VALUE"""),"Сила удержания 250 кг, с герконовым датчиком положения, 24 В, 150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трубная проводка,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79" s="9">
        <f ca="1">IFERROR(__xludf.DUMMYFUNCTION("""COMPUTED_VALUE"""),43175)</f>
        <v>43175</v>
      </c>
      <c r="D279" s="6"/>
      <c r="E279" s="8"/>
    </row>
    <row r="280" spans="1:5" ht="153">
      <c r="A280" s="5" t="str">
        <f ca="1">IFERROR(__xludf.DUMMYFUNCTION("""COMPUTED_VALUE"""),"Ех-замок FM-26 250 24В КМ8/КМ10/КМ12
  РВ Ex mb I Mb X и 1Ex mb IIC T5 Gb X и Ex mb IIIC T95°oC Db X 
 АТФЕ.425729.156 ТУ")</f>
        <v>Ех-замок FM-26 250 24В КМ8/КМ10/КМ12
  РВ Ex mb I Mb X и 1Ex mb IIC T5 Gb X и Ex mb IIIC T95°oC Db X 
 АТФЕ.425729.156 ТУ</v>
      </c>
      <c r="B280" s="6" t="str">
        <f ca="1">IFERROR(__xludf.DUMMYFUNCTION("""COMPUTED_VALUE"""),"Сила удержания 250 кг, с герконовым датчиком положения, 24 В, 150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250 кг, с герконовым датчиком положения, 24 В, 150 мА, вариант прокладки кабеля: кабель в металлорукаве, IP66/IP68, -60...+60 ˚С, 200х60х41 мм, 5 кг, класс устойчивости U2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0" s="9">
        <f ca="1">IFERROR(__xludf.DUMMYFUNCTION("""COMPUTED_VALUE"""),43175)</f>
        <v>43175</v>
      </c>
      <c r="D280" s="6"/>
      <c r="E280" s="8"/>
    </row>
    <row r="281" spans="1:5" ht="140.25">
      <c r="A281" s="5" t="str">
        <f ca="1">IFERROR(__xludf.DUMMYFUNCTION("""COMPUTED_VALUE"""),"Ех-замок FM-26 350 12В К (без датчика положения)
  РВ Ex mb I Mb X и 1Ex mb IIC T5 Gb X и Ex mb IIIC T95°oC Db X 
 АТФЕ.425729.156 ТУ")</f>
        <v>Ех-замок FM-26 350 12В К (без датчика положения)
  РВ Ex mb I Mb X и 1Ex mb IIC T5 Gb X и Ex mb IIIC T95°oC Db X 
 АТФЕ.425729.156 ТУ</v>
      </c>
      <c r="B281" s="6" t="str">
        <f ca="1">IFERROR(__xludf.DUMMYFUNCTION("""COMPUTED_VALUE"""),"Сила удержания 350 кг, 12 В, 350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1" s="9">
        <f ca="1">IFERROR(__xludf.DUMMYFUNCTION("""COMPUTED_VALUE"""),49610)</f>
        <v>49610</v>
      </c>
      <c r="D281" s="6"/>
      <c r="E281" s="8"/>
    </row>
    <row r="282" spans="1:5" ht="140.25">
      <c r="A282" s="5" t="str">
        <f ca="1">IFERROR(__xludf.DUMMYFUNCTION("""COMPUTED_VALUE"""),"Ех-замок FM-26 350 12В В (без датчика положения)
  РВ Ex mb I Mb X и 1Ex mb IIC T5 Gb X и Ex mb IIIC T95°oC Db X 
 АТФЕ.425729.156 ТУ")</f>
        <v>Ех-замок FM-26 350 12В В (без датчика положения)
  РВ Ex mb I Mb X и 1Ex mb IIC T5 Gb X и Ex mb IIIC T95°oC Db X 
 АТФЕ.425729.156 ТУ</v>
      </c>
      <c r="B282" s="6" t="str">
        <f ca="1">IFERROR(__xludf.DUMMYFUNCTION("""COMPUTED_VALUE"""),"Сила удержания 350 кг, 12 В, 350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2" s="9">
        <f ca="1">IFERROR(__xludf.DUMMYFUNCTION("""COMPUTED_VALUE"""),49610)</f>
        <v>49610</v>
      </c>
      <c r="D282" s="6"/>
      <c r="E282" s="8"/>
    </row>
    <row r="283" spans="1:5" ht="140.25">
      <c r="A283" s="5" t="str">
        <f ca="1">IFERROR(__xludf.DUMMYFUNCTION("""COMPUTED_VALUE"""),"Ех-замок FM-26 350 12В Т (без датчика положения)
  РВ Ex mb I Mb X и 1Ex mb IIC T5 Gb X и Ex mb IIIC T95°oC Db X 
 АТФЕ.425729.156 ТУ")</f>
        <v>Ех-замок FM-26 350 12В Т (без датчика положения)
  РВ Ex mb I Mb X и 1Ex mb IIC T5 Gb X и Ex mb IIIC T95°oC Db X 
 АТФЕ.425729.156 ТУ</v>
      </c>
      <c r="B283" s="6" t="str">
        <f ca="1">IFERROR(__xludf.DUMMYFUNCTION("""COMPUTED_VALUE"""),"Сила удержания 350 кг, 12 В, 350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3" s="9">
        <f ca="1">IFERROR(__xludf.DUMMYFUNCTION("""COMPUTED_VALUE"""),49610)</f>
        <v>49610</v>
      </c>
      <c r="D283" s="6"/>
      <c r="E283" s="8"/>
    </row>
    <row r="284" spans="1:5" ht="140.25">
      <c r="A284" s="5" t="str">
        <f ca="1">IFERROR(__xludf.DUMMYFUNCTION("""COMPUTED_VALUE"""),"Ех-замок FM-26 350 12В КМ8/КМ10/КМ12 (без датчика положения)
  РВ Ex mb I Mb X и 1Ex mb IIC T5 Gb X и Ex mb IIIC T95°oC Db X 
 АТФЕ.425729.156 ТУ")</f>
        <v>Ех-замок FM-26 350 12В КМ8/КМ10/КМ12 (без датчика положения)
  РВ Ex mb I Mb X и 1Ex mb IIC T5 Gb X и Ex mb IIIC T95°oC Db X 
 АТФЕ.425729.156 ТУ</v>
      </c>
      <c r="B284" s="6" t="str">
        <f ca="1">IFERROR(__xludf.DUMMYFUNCTION("""COMPUTED_VALUE"""),"Сила удержания 350 кг, 12 В, 350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350 кг, 12 В, 350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4" s="9">
        <f ca="1">IFERROR(__xludf.DUMMYFUNCTION("""COMPUTED_VALUE"""),49610)</f>
        <v>49610</v>
      </c>
      <c r="D284" s="6"/>
      <c r="E284" s="8"/>
    </row>
    <row r="285" spans="1:5" ht="153">
      <c r="A285" s="5" t="str">
        <f ca="1">IFERROR(__xludf.DUMMYFUNCTION("""COMPUTED_VALUE"""),"Ех-замок FM-26 350 12В К 
  РВ Ex mb I Mb X и 1Ex mb IIC T5 Gb X и Ex mb IIIC T95°oC Db X 
 АТФЕ.425729.156 ТУ")</f>
        <v>Ех-замок FM-26 350 12В К 
  РВ Ex mb I Mb X и 1Ex mb IIC T5 Gb X и Ex mb IIIC T95°oC Db X 
 АТФЕ.425729.156 ТУ</v>
      </c>
      <c r="B285" s="6" t="str">
        <f ca="1">IFERROR(__xludf.DUMMYFUNCTION("""COMPUTED_VALUE"""),"Сила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5" s="9">
        <f ca="1">IFERROR(__xludf.DUMMYFUNCTION("""COMPUTED_VALUE"""),50985)</f>
        <v>50985</v>
      </c>
      <c r="D285" s="6"/>
      <c r="E285" s="8"/>
    </row>
    <row r="286" spans="1:5" ht="153">
      <c r="A286" s="5" t="str">
        <f ca="1">IFERROR(__xludf.DUMMYFUNCTION("""COMPUTED_VALUE"""),"Ех-замок FM-26 350 12В В
  РВ Ex mb I Mb X и 1Ex mb IIC T5 Gb X и Ex mb IIIC T95°oC Db X 
 АТФЕ.425729.156 ТУ")</f>
        <v>Ех-замок FM-26 350 12В В
  РВ Ex mb I Mb X и 1Ex mb IIC T5 Gb X и Ex mb IIIC T95°oC Db X 
 АТФЕ.425729.156 ТУ</v>
      </c>
      <c r="B286" s="6" t="str">
        <f ca="1">IFERROR(__xludf.DUMMYFUNCTION("""COMPUTED_VALUE"""),"Сила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6" s="9">
        <f ca="1">IFERROR(__xludf.DUMMYFUNCTION("""COMPUTED_VALUE"""),50985)</f>
        <v>50985</v>
      </c>
      <c r="D286" s="6"/>
      <c r="E286" s="8"/>
    </row>
    <row r="287" spans="1:5" ht="153">
      <c r="A287" s="5" t="str">
        <f ca="1">IFERROR(__xludf.DUMMYFUNCTION("""COMPUTED_VALUE"""),"Ех-замок FM-26 350 12В Т 
  РВ Ex mb I Mb X и 1Ex mb IIC T5 Gb X и Ex mb IIIC T95°oC Db X 
 АТФЕ.425729.156 ТУ")</f>
        <v>Ех-замок FM-26 350 12В Т 
  РВ Ex mb I Mb X и 1Ex mb IIC T5 Gb X и Ex mb IIIC T95°oC Db X 
 АТФЕ.425729.156 ТУ</v>
      </c>
      <c r="B287" s="6" t="str">
        <f ca="1">IFERROR(__xludf.DUMMYFUNCTION("""COMPUTED_VALUE"""),"Сила удержания 350 кг, с герконовым датчиком положения, 12 В, 350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7" s="9">
        <f ca="1">IFERROR(__xludf.DUMMYFUNCTION("""COMPUTED_VALUE"""),50985)</f>
        <v>50985</v>
      </c>
      <c r="D287" s="6"/>
      <c r="E287" s="8"/>
    </row>
    <row r="288" spans="1:5" ht="153">
      <c r="A288" s="5" t="str">
        <f ca="1">IFERROR(__xludf.DUMMYFUNCTION("""COMPUTED_VALUE"""),"Ех-замок FM-26 350 12В КМ8/КМ10/КМ12
  РВ Ex mb I Mb X и 1Ex mb IIC T5 Gb X и Ex mb IIIC T95°oC Db X 
 АТФЕ.425729.156 ТУ")</f>
        <v>Ех-замок FM-26 350 12В КМ8/КМ10/КМ12
  РВ Ex mb I Mb X и 1Ex mb IIC T5 Gb X и Ex mb IIIC T95°oC Db X 
 АТФЕ.425729.156 ТУ</v>
      </c>
      <c r="B288" s="6" t="str">
        <f ca="1">IFERROR(__xludf.DUMMYFUNCTION("""COMPUTED_VALUE"""),"Сила удержания 350 кг, с герконовым датчиком положения, 12 В, 350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12 В, 350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8" s="9">
        <f ca="1">IFERROR(__xludf.DUMMYFUNCTION("""COMPUTED_VALUE"""),50985)</f>
        <v>50985</v>
      </c>
      <c r="D288" s="6"/>
      <c r="E288" s="8"/>
    </row>
    <row r="289" spans="1:5" ht="140.25">
      <c r="A289" s="5" t="str">
        <f ca="1">IFERROR(__xludf.DUMMYFUNCTION("""COMPUTED_VALUE"""),"Ех-замок FM-26 350 24В К (без датчика положения)
  РВ Ex mb I Mb X и 1Ex mb IIC T5 Gb X и Ex mb IIIC T95°oC Db X 
 АТФЕ.425729.156 ТУ")</f>
        <v>Ех-замок FM-26 350 24В К (без датчика положения)
  РВ Ex mb I Mb X и 1Ex mb IIC T5 Gb X и Ex mb IIIC T95°oC Db X 
 АТФЕ.425729.156 ТУ</v>
      </c>
      <c r="B289" s="6" t="str">
        <f ca="1">IFERROR(__xludf.DUMMYFUNCTION("""COMPUTED_VALUE"""),"Сила удержания 350 кг, 24 В, 180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п"&amp;"ластина,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89" s="9">
        <f ca="1">IFERROR(__xludf.DUMMYFUNCTION("""COMPUTED_VALUE"""),49610)</f>
        <v>49610</v>
      </c>
      <c r="D289" s="6"/>
      <c r="E289" s="8"/>
    </row>
    <row r="290" spans="1:5" ht="140.25">
      <c r="A290" s="5" t="str">
        <f ca="1">IFERROR(__xludf.DUMMYFUNCTION("""COMPUTED_VALUE"""),"Ех-замок FM-26 350 24В В (без датчика положения)
  РВ Ex mb I Mb X и 1Ex mb IIC T5 Gb X и Ex mb IIIC T95°oC Db X 
 АТФЕ.425729.156 ТУ")</f>
        <v>Ех-замок FM-26 350 24В В (без датчика положения)
  РВ Ex mb I Mb X и 1Ex mb IIC T5 Gb X и Ex mb IIIC T95°oC Db X 
 АТФЕ.425729.156 ТУ</v>
      </c>
      <c r="B290" s="6" t="str">
        <f ca="1">IFERROR(__xludf.DUMMYFUNCTION("""COMPUTED_VALUE"""),"Сила удержания 350 кг, 24 В, 180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пластина"&amp;",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бронекабель,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0" s="9">
        <f ca="1">IFERROR(__xludf.DUMMYFUNCTION("""COMPUTED_VALUE"""),49610)</f>
        <v>49610</v>
      </c>
      <c r="D290" s="6"/>
      <c r="E290" s="8"/>
    </row>
    <row r="291" spans="1:5" ht="140.25">
      <c r="A291" s="5" t="str">
        <f ca="1">IFERROR(__xludf.DUMMYFUNCTION("""COMPUTED_VALUE"""),"Ех-замок FM-26 350 24В Т (без датчика положения)
  РВ Ex mb I Mb X и 1Ex mb IIC T5 Gb X и Ex mb IIIC T95°oC Db X 
 АТФЕ.425729.156 ТУ")</f>
        <v>Ех-замок FM-26 350 24В Т (без датчика положения)
  РВ Ex mb I Mb X и 1Ex mb IIC T5 Gb X и Ex mb IIIC T95°oC Db X 
 АТФЕ.425729.156 ТУ</v>
      </c>
      <c r="B291" s="6" t="str">
        <f ca="1">IFERROR(__xludf.DUMMYFUNCTION("""COMPUTED_VALUE"""),"Сила удержания 350 кг, 24 В, 180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пла"&amp;"стина,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1" s="9">
        <f ca="1">IFERROR(__xludf.DUMMYFUNCTION("""COMPUTED_VALUE"""),49610)</f>
        <v>49610</v>
      </c>
      <c r="D291" s="6"/>
      <c r="E291" s="8"/>
    </row>
    <row r="292" spans="1:5" ht="140.25">
      <c r="A292" s="5" t="str">
        <f ca="1">IFERROR(__xludf.DUMMYFUNCTION("""COMPUTED_VALUE"""),"Ех-замок FM-26 350 24В КМ8/КМ10/КМ12 (без датчика положения)
  РВ Ex mb I Mb X и 1Ex mb IIC T5 Gb X и Ex mb IIIC T95°oC Db X 
 АТФЕ.425729.156 ТУ")</f>
        <v>Ех-замок FM-26 350 24В КМ8/КМ10/КМ12 (без датчика положения)
  РВ Ex mb I Mb X и 1Ex mb IIC T5 Gb X и Ex mb IIIC T95°oC Db X 
 АТФЕ.425729.156 ТУ</v>
      </c>
      <c r="B292" s="6" t="str">
        <f ca="1">IFERROR(__xludf.DUMMYFUNCTION("""COMPUTED_VALUE"""),"Сила удержания 350 кг, 24 В, 180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монтажн"&amp;"ая пластина, якорь, пластина крепления якоря, комплект крепления якоря. Рекомендуется использовать совместно с кнопкой Ех ВК200.")</f>
        <v>Сила удержания 350 кг, 24 В, 180 мА, без датчика положения,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2" s="9">
        <f ca="1">IFERROR(__xludf.DUMMYFUNCTION("""COMPUTED_VALUE"""),49610)</f>
        <v>49610</v>
      </c>
      <c r="D292" s="6"/>
      <c r="E292" s="8"/>
    </row>
    <row r="293" spans="1:5" ht="127.5">
      <c r="A293" s="5" t="str">
        <f ca="1">IFERROR(__xludf.DUMMYFUNCTION("""COMPUTED_VALUE"""),"Ех-замок FM-26 350 24В К 
  РВ Ex mb I Mb X и 1Ex mb IIC T5 Gb X и Ex mb IIIC T95°oC Db X 
 АТФЕ.425729.156 ТУ")</f>
        <v>Ех-замок FM-26 350 24В К 
  РВ Ex mb I Mb X и 1Ex mb IIC T5 Gb X и Ex mb IIIC T95°oC Db X 
 АТФЕ.425729.156 ТУ</v>
      </c>
      <c r="B293" s="6" t="str">
        <f ca="1">IFERROR(__xludf.DUMMYFUNCTION("""COMPUTED_VALUE"""),"Сила удержания 350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креплен"&amp;"ия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открытая прокладка, IP66/IP68, -60...+60 ˚С, 200х60х41 мм, 5 кг,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3" s="9">
        <f ca="1">IFERROR(__xludf.DUMMYFUNCTION("""COMPUTED_VALUE"""),50985)</f>
        <v>50985</v>
      </c>
      <c r="D293" s="6"/>
      <c r="E293" s="8"/>
    </row>
    <row r="294" spans="1:5" ht="153">
      <c r="A294" s="5" t="str">
        <f ca="1">IFERROR(__xludf.DUMMYFUNCTION("""COMPUTED_VALUE"""),"Ех-замок FM-26 350 24В В
  РВ Ex mb I Mb X и 1Ex mb IIC T5 Gb X и Ex mb IIIC T95°oC Db X 
 АТФЕ.425729.156 ТУ")</f>
        <v>Ех-замок FM-26 350 24В В
  РВ Ex mb I Mb X и 1Ex mb IIC T5 Gb X и Ex mb IIIC T95°oC Db X 
 АТФЕ.425729.156 ТУ</v>
      </c>
      <c r="B294" s="6" t="str">
        <f ca="1">IFERROR(__xludf.DUMMYFUNCTION("""COMPUTED_VALUE"""),"Сила удержания 350 кг, с герконовым датчиком положения, 24 В, 120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м"&amp;"онтажная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открытая прокладка,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4" s="9">
        <f ca="1">IFERROR(__xludf.DUMMYFUNCTION("""COMPUTED_VALUE"""),50985)</f>
        <v>50985</v>
      </c>
      <c r="D294" s="6"/>
      <c r="E294" s="8"/>
    </row>
    <row r="295" spans="1:5" ht="153">
      <c r="A295" s="5" t="str">
        <f ca="1">IFERROR(__xludf.DUMMYFUNCTION("""COMPUTED_VALUE"""),"Ех-замок FM-26 350 24В Т 
  РВ Ex mb I Mb X и 1Ex mb IIC T5 Gb X и Ex mb IIIC T95°oC Db X 
 АТФЕ.425729.156 ТУ")</f>
        <v>Ех-замок FM-26 350 24В Т 
  РВ Ex mb I Mb X и 1Ex mb IIC T5 Gb X и Ex mb IIIC T95°oC Db X 
 АТФЕ.425729.156 ТУ</v>
      </c>
      <c r="B295" s="6" t="str">
        <f ca="1">IFERROR(__xludf.DUMMYFUNCTION("""COMPUTED_VALUE"""),"Сила удержания 350 кг, с герконовым датчиком положения, 24 В, 180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мон"&amp;"тажная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180 мА, вариант прокладки кабеля: трубная проводка,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5" s="9">
        <f ca="1">IFERROR(__xludf.DUMMYFUNCTION("""COMPUTED_VALUE"""),50985)</f>
        <v>50985</v>
      </c>
      <c r="D295" s="6"/>
      <c r="E295" s="8"/>
    </row>
    <row r="296" spans="1:5" ht="153">
      <c r="A296" s="5" t="str">
        <f ca="1">IFERROR(__xludf.DUMMYFUNCTION("""COMPUTED_VALUE"""),"Ех-замок FM-26 350 24В КМ8/КМ10/КМ12
  РВ Ex mb I Mb X и 1Ex mb IIC T5 Gb X и Ex mb IIIC T95°oC Db X 
 АТФЕ.425729.156 ТУ")</f>
        <v>Ех-замок FM-26 350 24В КМ8/КМ10/КМ12
  РВ Ex mb I Mb X и 1Ex mb IIC T5 Gb X и Ex mb IIIC T95°oC Db X 
 АТФЕ.425729.156 ТУ</v>
      </c>
      <c r="B296" s="6" t="str">
        <f ca="1">IFERROR(__xludf.DUMMYFUNCTION("""COMPUTED_VALUE"""),"Сила удержания 350 кг, с герконовым датчиком положения, 24 В, 120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угольни"&amp;"к, монтажная пластина, якорь, пластина крепления якоря, комплект крепления якоря. Рекомендуется использовать совместно с кнопкой Ех ВК200.")</f>
        <v>Сила удержания 350 кг, с герконовым датчиком положения, 24 В, 120 мА, вариант прокладки кабеля: кабель в металлорукаве, IP66/IP68, -60...+60 ˚С, 200х60х41 мм, 5 кг, класс устойчивости U3 по ГОСТ 58822-2020, комплект поставки: корпус замка, планка, угольник, монтажная пластина, якорь, пластина крепления якоря, комплект крепления якоря. Рекомендуется использовать совместно с кнопкой Ех ВК200.</v>
      </c>
      <c r="C296" s="9">
        <f ca="1">IFERROR(__xludf.DUMMYFUNCTION("""COMPUTED_VALUE"""),50985)</f>
        <v>50985</v>
      </c>
      <c r="D296" s="6"/>
      <c r="E296" s="8"/>
    </row>
    <row r="297" spans="1:5" ht="63.75">
      <c r="A297" s="5" t="str">
        <f ca="1">IFERROR(__xludf.DUMMYFUNCTION("""COMPUTED_VALUE"""),"ВК200 (кнопка) вариант А
Общепромышленное исполнение
АТФЕ.425411.152ТУ")</f>
        <v>ВК200 (кнопка) вариант А
Общепромышленное исполнение
АТФЕ.425411.152ТУ</v>
      </c>
      <c r="B297" s="6" t="str">
        <f ca="1">IFERROR(__xludf.DUMMYFUNCTION("""COMPUTED_VALUE"""),"Кнопка управления магнитогерконовая , НР. С выводом кабеля в металлорукаве (1м) через отверстие в основании корпуса (осевой) - для скрытой прокладки")</f>
        <v>Кнопка управления магнитогерконовая , НР. С выводом кабеля в металлорукаве (1м) через отверстие в основании корпуса (осевой) - для скрытой прокладки</v>
      </c>
      <c r="C297" s="9">
        <f ca="1">IFERROR(__xludf.DUMMYFUNCTION("""COMPUTED_VALUE"""),11640.2)</f>
        <v>11640.2</v>
      </c>
      <c r="D297" s="6"/>
      <c r="E297" s="8"/>
    </row>
    <row r="298" spans="1:5" ht="38.25">
      <c r="A298" s="5" t="str">
        <f ca="1">IFERROR(__xludf.DUMMYFUNCTION("""COMPUTED_VALUE"""),"ВК200 (кнопка) вариант В
Общепромышленное исполнение
АТФЕ.425411.152ТУ")</f>
        <v>ВК200 (кнопка) вариант В
Общепромышленное исполнение
АТФЕ.425411.152ТУ</v>
      </c>
      <c r="B298" s="6" t="str">
        <f ca="1">IFERROR(__xludf.DUMMYFUNCTION("""COMPUTED_VALUE"""),"Кнопка управления магнитогерконовая , НР. С радиальным выводом кабеля в металлорукаве")</f>
        <v>Кнопка управления магнитогерконовая , НР. С радиальным выводом кабеля в металлорукаве</v>
      </c>
      <c r="C298" s="9">
        <f ca="1">IFERROR(__xludf.DUMMYFUNCTION("""COMPUTED_VALUE"""),11640.2)</f>
        <v>11640.2</v>
      </c>
      <c r="D298" s="6"/>
      <c r="E298" s="8"/>
    </row>
    <row r="299" spans="1:5" ht="38.25">
      <c r="A299" s="5" t="str">
        <f ca="1">IFERROR(__xludf.DUMMYFUNCTION("""COMPUTED_VALUE"""),"ВК200 (кнопка) вариант K
Общепромышленное исполнение
АТФЕ.425411.152ТУ")</f>
        <v>ВК200 (кнопка) вариант K
Общепромышленное исполнение
АТФЕ.425411.152ТУ</v>
      </c>
      <c r="B299" s="6" t="str">
        <f ca="1">IFERROR(__xludf.DUMMYFUNCTION("""COMPUTED_VALUE"""),"Кнопка управления магнитогерконовая , НР. Врезной монтаж")</f>
        <v>Кнопка управления магнитогерконовая , НР. Врезной монтаж</v>
      </c>
      <c r="C299" s="9">
        <f ca="1">IFERROR(__xludf.DUMMYFUNCTION("""COMPUTED_VALUE"""),11640.2)</f>
        <v>11640.2</v>
      </c>
      <c r="D299" s="6"/>
      <c r="E299" s="8"/>
    </row>
    <row r="300" spans="1:5" ht="63.75">
      <c r="A300" s="5" t="str">
        <f ca="1">IFERROR(__xludf.DUMMYFUNCTION("""COMPUTED_VALUE"""),"Ех ВК200 (кнопка) вариант А
 0Ex ia IIC T6…Т5 Ga X / 1Ex mb IIC T6…Т5 Gb X 
АТФЕ.425411.152ТУ")</f>
        <v>Ех ВК200 (кнопка) вариант А
 0Ex ia IIC T6…Т5 Ga X / 1Ex mb IIC T6…Т5 Gb X 
АТФЕ.425411.152ТУ</v>
      </c>
      <c r="B300" s="6" t="str">
        <f ca="1">IFERROR(__xludf.DUMMYFUNCTION("""COMPUTED_VALUE"""),"Кнопка управления магнитогерконовая взрывозащищенная, НР. С выводом кабеля в металлорукаве (1м) через отверстие в основании корпуса (осевой) - для скрытой прокладки")</f>
        <v>Кнопка управления магнитогерконовая взрывозащищенная, НР. С выводом кабеля в металлорукаве (1м) через отверстие в основании корпуса (осевой) - для скрытой прокладки</v>
      </c>
      <c r="C300" s="9">
        <f ca="1">IFERROR(__xludf.DUMMYFUNCTION("""COMPUTED_VALUE"""),20450)</f>
        <v>20450</v>
      </c>
      <c r="D300" s="6"/>
      <c r="E300" s="8"/>
    </row>
    <row r="301" spans="1:5" ht="51">
      <c r="A301" s="5" t="str">
        <f ca="1">IFERROR(__xludf.DUMMYFUNCTION("""COMPUTED_VALUE"""),"Ех ВК200 (кнопка) вариант В
 0Ex ia IIC T6…Т5 Ga X / 1Ex mb IIC T6…Т5 Gb X 
АТФЕ.425411.152ТУ")</f>
        <v>Ех ВК200 (кнопка) вариант В
 0Ex ia IIC T6…Т5 Ga X / 1Ex mb IIC T6…Т5 Gb X 
АТФЕ.425411.152ТУ</v>
      </c>
      <c r="B301" s="6" t="str">
        <f ca="1">IFERROR(__xludf.DUMMYFUNCTION("""COMPUTED_VALUE"""),"Кнопка управления магнитогерконовая взрывозащищенная, НР. С радиальным выводом кабеля в металлорукаве 1м типа МРПИ-6")</f>
        <v>Кнопка управления магнитогерконовая взрывозащищенная, НР. С радиальным выводом кабеля в металлорукаве 1м типа МРПИ-6</v>
      </c>
      <c r="C301" s="9">
        <f ca="1">IFERROR(__xludf.DUMMYFUNCTION("""COMPUTED_VALUE"""),20450)</f>
        <v>20450</v>
      </c>
      <c r="D301" s="6"/>
      <c r="E301" s="8"/>
    </row>
    <row r="302" spans="1:5" ht="38.25">
      <c r="A302" s="5" t="str">
        <f ca="1">IFERROR(__xludf.DUMMYFUNCTION("""COMPUTED_VALUE"""),"Ех ВК200 (кнопка) вариант K
 0Ex ia IIC T6…Т5 Ga X / 1Ex mb IIC T6…Т5 Gb X 
АТФЕ.425411.152ТУ")</f>
        <v>Ех ВК200 (кнопка) вариант K
 0Ex ia IIC T6…Т5 Ga X / 1Ex mb IIC T6…Т5 Gb X 
АТФЕ.425411.152ТУ</v>
      </c>
      <c r="B302" s="6" t="str">
        <f ca="1">IFERROR(__xludf.DUMMYFUNCTION("""COMPUTED_VALUE"""),"Кнопка управления магнитогерконовая взрывозащищенная, НР. Врезной монтаж")</f>
        <v>Кнопка управления магнитогерконовая взрывозащищенная, НР. Врезной монтаж</v>
      </c>
      <c r="C302" s="9">
        <f ca="1">IFERROR(__xludf.DUMMYFUNCTION("""COMPUTED_VALUE"""),20450)</f>
        <v>20450</v>
      </c>
      <c r="D302" s="6"/>
      <c r="E302" s="8"/>
    </row>
    <row r="303" spans="1:5" ht="38.25">
      <c r="A303" s="5" t="str">
        <f ca="1">IFERROR(__xludf.DUMMYFUNCTION("""COMPUTED_VALUE"""),"Омагничиватель (умягчитель) жидкости «АЛАБАЙ-1» АТФЕ.752179.164 ТУ")</f>
        <v>Омагничиватель (умягчитель) жидкости «АЛАБАЙ-1» АТФЕ.752179.164 ТУ</v>
      </c>
      <c r="B303" s="6" t="str">
        <f ca="1">IFERROR(__xludf.DUMMYFUNCTION("""COMPUTED_VALUE"""),"для установки на трубы диаметром до 1 дюйма. Интенсивность поля в рабочей зоне не менее 100 мТл.")</f>
        <v>для установки на трубы диаметром до 1 дюйма. Интенсивность поля в рабочей зоне не менее 100 мТл.</v>
      </c>
      <c r="C303" s="9">
        <f ca="1">IFERROR(__xludf.DUMMYFUNCTION("""COMPUTED_VALUE"""),982)</f>
        <v>982</v>
      </c>
      <c r="D303" s="6"/>
      <c r="E303" s="8"/>
    </row>
    <row r="304" spans="1:5" ht="38.25">
      <c r="A304" s="5" t="str">
        <f ca="1">IFERROR(__xludf.DUMMYFUNCTION("""COMPUTED_VALUE"""),"Омагничиватель (умягчитель) жидкости «АЛАБАЙ-2» АТФЕ.752179.164 ТУ")</f>
        <v>Омагничиватель (умягчитель) жидкости «АЛАБАЙ-2» АТФЕ.752179.164 ТУ</v>
      </c>
      <c r="B304" s="6" t="str">
        <f ca="1">IFERROR(__xludf.DUMMYFUNCTION("""COMPUTED_VALUE"""),"для установки на трубы диаметром до 1½ дюйма. Интенсивность поля в рабочей зоне не менее 150 мТл.")</f>
        <v>для установки на трубы диаметром до 1½ дюйма. Интенсивность поля в рабочей зоне не менее 150 мТл.</v>
      </c>
      <c r="C304" s="9">
        <f ca="1">IFERROR(__xludf.DUMMYFUNCTION("""COMPUTED_VALUE"""),1094)</f>
        <v>1094</v>
      </c>
      <c r="D304" s="6"/>
      <c r="E304" s="8"/>
    </row>
    <row r="305" spans="1:5" ht="25.5">
      <c r="A305" s="5" t="str">
        <f ca="1">IFERROR(__xludf.DUMMYFUNCTION("""COMPUTED_VALUE"""),"Коробка распределительная КР60х60х30, IP65 (глухая) 
АТФЕ.685552.178")</f>
        <v>Коробка распределительная КР60х60х30, IP65 (глухая) 
АТФЕ.685552.178</v>
      </c>
      <c r="B305" s="6" t="str">
        <f ca="1">IFERROR(__xludf.DUMMYFUNCTION("""COMPUTED_VALUE"""),"Коробка распределительная глухая (без отверстий) из пластика")</f>
        <v>Коробка распределительная глухая (без отверстий) из пластика</v>
      </c>
      <c r="C305" s="9">
        <f ca="1">IFERROR(__xludf.DUMMYFUNCTION("""COMPUTED_VALUE"""),83.6)</f>
        <v>83.6</v>
      </c>
      <c r="D305" s="6"/>
      <c r="E305" s="8"/>
    </row>
    <row r="306" spans="1:5" ht="38.25">
      <c r="A306" s="5" t="str">
        <f ca="1">IFERROR(__xludf.DUMMYFUNCTION("""COMPUTED_VALUE"""),"Коробка распределительная КР60х60х30, IP65 (с 4-мя заглушками) 
АТФЕ.685552.178")</f>
        <v>Коробка распределительная КР60х60х30, IP65 (с 4-мя заглушками) 
АТФЕ.685552.178</v>
      </c>
      <c r="B306" s="6" t="str">
        <f ca="1">IFERROR(__xludf.DUMMYFUNCTION("""COMPUTED_VALUE"""),"Коробка распределительная (4 отверстия с герметичными заглушками) из пластика")</f>
        <v>Коробка распределительная (4 отверстия с герметичными заглушками) из пластика</v>
      </c>
      <c r="C306" s="9">
        <f ca="1">IFERROR(__xludf.DUMMYFUNCTION("""COMPUTED_VALUE"""),132)</f>
        <v>132</v>
      </c>
      <c r="D306" s="6"/>
      <c r="E306" s="8"/>
    </row>
    <row r="307" spans="1:5" ht="38.25">
      <c r="A307" s="5" t="str">
        <f ca="1">IFERROR(__xludf.DUMMYFUNCTION("""COMPUTED_VALUE"""),"Коробка распределительная КР60х60х30, IP65  (с 4-мя кабельными вводами ПКВ12х1.5) 
АТФЕ.685552.178")</f>
        <v>Коробка распределительная КР60х60х30, IP65  (с 4-мя кабельными вводами ПКВ12х1.5) 
АТФЕ.685552.178</v>
      </c>
      <c r="B307" s="6" t="str">
        <f ca="1">IFERROR(__xludf.DUMMYFUNCTION("""COMPUTED_VALUE"""),"Коробка распределительная с 4-мя герметичными кабельными вводами ПКВ12х1.5 из пластика")</f>
        <v>Коробка распределительная с 4-мя герметичными кабельными вводами ПКВ12х1.5 из пластика</v>
      </c>
      <c r="C307" s="9">
        <f ca="1">IFERROR(__xludf.DUMMYFUNCTION("""COMPUTED_VALUE"""),224.4)</f>
        <v>224.4</v>
      </c>
      <c r="D307" s="6"/>
      <c r="E307" s="8"/>
    </row>
    <row r="308" spans="1:5" ht="38.25">
      <c r="A308" s="5" t="str">
        <f ca="1">IFERROR(__xludf.DUMMYFUNCTION("""COMPUTED_VALUE"""),"Коробка распределительная КР60х60х30 с тампером, 7 контактов, IP65, (замена JB-720)
АТФЕ.685552.178")</f>
        <v>Коробка распределительная КР60х60х30 с тампером, 7 контактов, IP65, (замена JB-720)
АТФЕ.685552.178</v>
      </c>
      <c r="B308" s="6" t="str">
        <f ca="1">IFERROR(__xludf.DUMMYFUNCTION("""COMPUTED_VALUE"""),"Коробка распределительная глухая (без отверстий) из пластика, с тампером, клеммник на 7 пар контактов")</f>
        <v>Коробка распределительная глухая (без отверстий) из пластика, с тампером, клеммник на 7 пар контактов</v>
      </c>
      <c r="C308" s="9">
        <f ca="1">IFERROR(__xludf.DUMMYFUNCTION("""COMPUTED_VALUE"""),261.8)</f>
        <v>261.8</v>
      </c>
      <c r="D308" s="6"/>
      <c r="E308" s="8"/>
    </row>
    <row r="309" spans="1:5" ht="331.5">
      <c r="A309" s="5" t="str">
        <f ca="1">IFERROR(__xludf.DUMMYFUNCTION("""COMPUTED_VALUE"""),"""УППА ЛИГАРД""
  АТФЕ.425429.167 ТУ")</f>
        <v>"УППА ЛИГАРД"
  АТФЕ.425429.167 ТУ</v>
      </c>
      <c r="B309" s="6" t="str">
        <f ca="1">IFERROR(__xludf.DUMMYFUNCTION("""COMPUTED_VALUE"""),"""Устройство пожарное пусковое автономное """"УППА ЛИГАРД""""
  АТФЕ.425429.167 ТУ 
  предназначено для работы в составе автономных установок пожаротушения, запуск которых производится подачей пускового тока на электровоспламенитель модуля пожаротушения.
"&amp;"  Напряжение питание устройства от встроенного элемента питания. Устройство – изделие не ремонтируемое. Габариты 68x50 мм, IP20"" 
 Ток, потребляемый в дежурном режиме 0 мА.
  Ток, пропускаемый в режиме «КОНТРОЛЬ» через цепь электровоспламенителя, не боле"&amp;"е 1 мА.
  Температура срабатывания 1-го термореле (сигнал «ВНИМАНИЕ») 60° ± 5°С
  Температура срабатывания 2-го термореле (команда «ПУСК») 75° ± 5°С
  Уровень звукового давления встроенной сирены на расстоянии 1 м, не менее 50 дБ")</f>
        <v>"Устройство пожарное пусковое автономное ""УППА ЛИГАРД""
  АТФЕ.425429.167 ТУ 
  предназначено для работы в составе автономных установок пожаротушения, запуск которых производится подачей пускового тока на электровоспламенитель модуля пожаротушения.
  Напряжение питание устройства от встроенного элемента питания. Устройство – изделие не ремонтируемое. Габариты 68x50 мм, IP20" 
 Ток, потребляемый в дежурном режиме 0 мА.
  Ток, пропускаемый в режиме «КОНТРОЛЬ» через цепь электровоспламенителя, не более 1 мА.
  Температура срабатывания 1-го термореле (сигнал «ВНИМАНИЕ») 60° ± 5°С
  Температура срабатывания 2-го термореле (команда «ПУСК») 75° ± 5°С
  Уровень звукового давления встроенной сирены на расстоянии 1 м, не менее 50 дБ</v>
      </c>
      <c r="C309" s="9">
        <f ca="1">IFERROR(__xludf.DUMMYFUNCTION("""COMPUTED_VALUE"""),1988)</f>
        <v>1988</v>
      </c>
      <c r="D309" s="6"/>
      <c r="E309" s="8"/>
    </row>
    <row r="310" spans="1:5" ht="140.25">
      <c r="A310" s="5" t="str">
        <f ca="1">IFERROR(__xludf.DUMMYFUNCTION("""COMPUTED_VALUE"""),"Корпус для РЭА универсальный, 195х80х75 АТФЕ.685552.003 ТУ")</f>
        <v>Корпус для РЭА универсальный, 195х80х75 АТФЕ.685552.003 ТУ</v>
      </c>
      <c r="B310" s="6" t="str">
        <f ca="1">IFERROR(__xludf.DUMMYFUNCTION("""COMPUTED_VALUE"""),"Корпус для РЭА универсальный предназначен для монтажа и установки радиоэлектронной аппаратуры. Степень защиты - IP66/IP67 по ГОСТ 14254.
Корпус выполнен из ударопрочного ABS пластика или полиамида, устойчив к перепадам температур и ультрафиолету. По треб"&amp;"ования потребителя цветовая гамма и материал корпуса могут быть любыми.")</f>
        <v>Корпус для РЭА универсальный предназначен для монтажа и установки радиоэлектронной аппаратуры. Степень защиты - IP66/IP67 по ГОСТ 14254.
Корпус выполнен из ударопрочного ABS пластика или полиамида, устойчив к перепадам температур и ультрафиолету. По требования потребителя цветовая гамма и материал корпуса могут быть любыми.</v>
      </c>
      <c r="C310" s="9">
        <f ca="1">IFERROR(__xludf.DUMMYFUNCTION("""COMPUTED_VALUE"""),814)</f>
        <v>814</v>
      </c>
      <c r="D310" s="6"/>
      <c r="E310" s="8"/>
    </row>
    <row r="311" spans="1:5" ht="165.75">
      <c r="A311" s="5" t="str">
        <f ca="1">IFERROR(__xludf.DUMMYFUNCTION("""COMPUTED_VALUE"""),"Ex УС-2 
1Еx db IIC T6…T5 Gb / 0Еx ia IIC T6…T5 Ga
АТФЕ.685552.154 ")</f>
        <v xml:space="preserve">Ex УС-2 
1Еx db IIC T6…T5 Gb / 0Еx ia IIC T6…T5 Ga
АТФЕ.685552.154 </v>
      </c>
      <c r="B311" s="6" t="str">
        <f ca="1">IFERROR(__xludf.DUMMYFUNCTION("""COMPUTED_VALUE"""),"Устройство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"&amp;"заказе. Устройство Ех УС-2 комплектуются пластиковыми клемниками с диаметром подключаемого кабеля от 2.5 мм2 до 10 мм2. Количество клеммных пар - 8. IP66/IP68")</f>
        <v>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заказе. Устройство Ех УС-2 комплектуются пластиковыми клемниками с диаметром подключаемого кабеля от 2.5 мм2 до 10 мм2. Количество клеммных пар - 8. IP66/IP68</v>
      </c>
      <c r="C311" s="9">
        <f ca="1">IFERROR(__xludf.DUMMYFUNCTION("""COMPUTED_VALUE"""),13685)</f>
        <v>13685</v>
      </c>
      <c r="D311" s="6"/>
      <c r="E311" s="8"/>
    </row>
    <row r="312" spans="1:5" ht="165.75">
      <c r="A312" s="5" t="str">
        <f ca="1">IFERROR(__xludf.DUMMYFUNCTION("""COMPUTED_VALUE"""),"Ex УС-2М
1Еx db IIC T6…T5 Gb / 0Еx ia IIC T6…T5 Ga
АТФЕ.685552.154")</f>
        <v>Ex УС-2М
1Еx db IIC T6…T5 Gb / 0Еx ia IIC T6…T5 Ga
АТФЕ.685552.154</v>
      </c>
      <c r="B312" s="6" t="str">
        <f ca="1">IFERROR(__xludf.DUMMYFUNCTION("""COMPUTED_VALUE"""),"Устройство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"&amp;"заказе. Устройство Ех УС-2 комплектуются пластиковыми клемниками с диаметром подключаемого кабеля от 2.5 мм2 до 10 мм2. Количество клеммных пар - 8. IP66/IP68. С крепежной площадкой")</f>
        <v>Устройство соединительное из нержавеющей стали, комплектуются сменными металлическими кабельными вводами Ex МКВМ или аналогичными вводами МКВ количеством 2-х штук, может оснащаться резьбовыми переходниками. Материал вводов и переходников определяется при заказе. Устройство Ех УС-2 комплектуются пластиковыми клемниками с диаметром подключаемого кабеля от 2.5 мм2 до 10 мм2. Количество клеммных пар - 8. IP66/IP68. С крепежной площадкой</v>
      </c>
      <c r="C312" s="9">
        <f ca="1">IFERROR(__xludf.DUMMYFUNCTION("""COMPUTED_VALUE"""),14628)</f>
        <v>14628</v>
      </c>
      <c r="D312" s="6"/>
      <c r="E312" s="8"/>
    </row>
    <row r="313" spans="1:5" ht="63.75">
      <c r="A313" s="5" t="str">
        <f ca="1">IFERROR(__xludf.DUMMYFUNCTION("""COMPUTED_VALUE"""),"Ex-коробка металлическая «СЕВЕРЛЕНД» (Под 1 кабельный ввод или Ех заглушку)
 1Еx d IIC T6…T5 Gb
АТФЕ.685552.153 ")</f>
        <v xml:space="preserve">Ex-коробка металлическая «СЕВЕРЛЕНД» (Под 1 кабельный ввод или Ех заглушку)
 1Еx d IIC T6…T5 Gb
АТФЕ.685552.153 </v>
      </c>
      <c r="B313" s="6" t="str">
        <f ca="1">IFERROR(__xludf.DUMMYFUNCTION("""COMPUTED_VALUE"""),"117 х 117 х 85мм. IP66/IP68. Комплектуются пластиковыми клеммниками (14 пар клемм). 
Под 1 кабельный ввод или Ех заглушку (приобретаются отдельно).")</f>
        <v>117 х 117 х 85мм. IP66/IP68. Комплектуются пластиковыми клеммниками (14 пар клемм). 
Под 1 кабельный ввод или Ех заглушку (приобретаются отдельно).</v>
      </c>
      <c r="C313" s="9">
        <f ca="1">IFERROR(__xludf.DUMMYFUNCTION("""COMPUTED_VALUE"""),3410)</f>
        <v>3410</v>
      </c>
      <c r="D313" s="6"/>
      <c r="E313" s="8"/>
    </row>
    <row r="314" spans="1:5" ht="63.75">
      <c r="A314" s="5" t="str">
        <f ca="1">IFERROR(__xludf.DUMMYFUNCTION("""COMPUTED_VALUE"""),"Ex-коробка металлическая «СЕВЕРЛЕНД» П (""Проходная"". Под 2 кабельных ввода или Ех заглушки)
 1Еx d IIC T6…T5 Gb
 АТФЕ.685552.153")</f>
        <v>Ex-коробка металлическая «СЕВЕРЛЕНД» П ("Проходная". Под 2 кабельных ввода или Ех заглушки)
 1Еx d IIC T6…T5 Gb
 АТФЕ.685552.153</v>
      </c>
      <c r="B314" s="6" t="str">
        <f ca="1">IFERROR(__xludf.DUMMYFUNCTION("""COMPUTED_VALUE"""),"117 х 117 х 85мм. IP66/IP68. Комплектуются пластиковыми клеммниками (14 пар клемм).
""Проходная"". Под 2 кабельных ввода или Ех заглушки (приобретаются отдельно).")</f>
        <v>117 х 117 х 85мм. IP66/IP68. Комплектуются пластиковыми клеммниками (14 пар клемм).
"Проходная". Под 2 кабельных ввода или Ех заглушки (приобретаются отдельно).</v>
      </c>
      <c r="C314" s="9">
        <f ca="1">IFERROR(__xludf.DUMMYFUNCTION("""COMPUTED_VALUE"""),3410)</f>
        <v>3410</v>
      </c>
      <c r="D314" s="6"/>
      <c r="E314" s="8"/>
    </row>
    <row r="315" spans="1:5" ht="63.75">
      <c r="A315" s="5" t="str">
        <f ca="1">IFERROR(__xludf.DUMMYFUNCTION("""COMPUTED_VALUE"""),"Ex-коробка металлическая «СЕВЕРЛЕНД» У  (""Угловая"". Под 2 кабельных ввода или Ех заглушки)
 1Еx d IIC T6…T5 Gb
АТФЕ.685552.153")</f>
        <v>Ex-коробка металлическая «СЕВЕРЛЕНД» У  ("Угловая". Под 2 кабельных ввода или Ех заглушки)
 1Еx d IIC T6…T5 Gb
АТФЕ.685552.153</v>
      </c>
      <c r="B315" s="6" t="str">
        <f ca="1">IFERROR(__xludf.DUMMYFUNCTION("""COMPUTED_VALUE"""),"117 х 117 х 85мм. IP66/IP68.Комплектуются пластиковыми клеммниками (14 пар клемм). 
""Угловая"". Под 2 кабельных ввода или Ех заглушки (приобретаются отдельно).")</f>
        <v>117 х 117 х 85мм. IP66/IP68.Комплектуются пластиковыми клеммниками (14 пар клемм). 
"Угловая". Под 2 кабельных ввода или Ех заглушки (приобретаются отдельно).</v>
      </c>
      <c r="C315" s="9">
        <f ca="1">IFERROR(__xludf.DUMMYFUNCTION("""COMPUTED_VALUE"""),3410)</f>
        <v>3410</v>
      </c>
      <c r="D315" s="6"/>
      <c r="E315" s="8"/>
    </row>
    <row r="316" spans="1:5" ht="76.5">
      <c r="A316" s="5" t="str">
        <f ca="1">IFERROR(__xludf.DUMMYFUNCTION("""COMPUTED_VALUE"""),"Ex-коробка металлическая «СЕВЕРЛЕНД» Т (""Тройниковая"". Под 3 кабельных ввода или Ех заглушки)
 1Еx d IIC T6…T5 Gb
АТФЕ.685552.153")</f>
        <v>Ex-коробка металлическая «СЕВЕРЛЕНД» Т ("Тройниковая". Под 3 кабельных ввода или Ех заглушки)
 1Еx d IIC T6…T5 Gb
АТФЕ.685552.153</v>
      </c>
      <c r="B316" s="6" t="str">
        <f ca="1">IFERROR(__xludf.DUMMYFUNCTION("""COMPUTED_VALUE"""),"117 х 117 х 85мм. IP66/IP68. Комплектуются пластиковыми клеммниками (14 пар клемм). 
""Тройниковая"". Под 3 кабельных ввода или Ех заглушки (приобретаются отдельно).")</f>
        <v>117 х 117 х 85мм. IP66/IP68. Комплектуются пластиковыми клеммниками (14 пар клемм). 
"Тройниковая". Под 3 кабельных ввода или Ех заглушки (приобретаются отдельно).</v>
      </c>
      <c r="C316" s="9">
        <f ca="1">IFERROR(__xludf.DUMMYFUNCTION("""COMPUTED_VALUE"""),3652)</f>
        <v>3652</v>
      </c>
      <c r="D316" s="6"/>
      <c r="E316" s="8"/>
    </row>
    <row r="317" spans="1:5" ht="63.75">
      <c r="A317" s="5" t="str">
        <f ca="1">IFERROR(__xludf.DUMMYFUNCTION("""COMPUTED_VALUE"""),"Ex-коробка металлическая «СЕВЕРЛЕНД» К (""Крестовая"". Под 4 кабельных ввода или Ех заглушки)
 1Еx d IIC T6…T5 Gb
АТФЕ.685552.153")</f>
        <v>Ex-коробка металлическая «СЕВЕРЛЕНД» К ("Крестовая". Под 4 кабельных ввода или Ех заглушки)
 1Еx d IIC T6…T5 Gb
АТФЕ.685552.153</v>
      </c>
      <c r="B317" s="6" t="str">
        <f ca="1">IFERROR(__xludf.DUMMYFUNCTION("""COMPUTED_VALUE"""),"117 х 117 х 85мм. IP66/IP68. Комплектуются пластиковыми клеммниками (14 пар клемм). 
""Крестовая"". Под 4 кабельных ввода или Ех заглушки(приобретаются отдельно).")</f>
        <v>117 х 117 х 85мм. IP66/IP68. Комплектуются пластиковыми клеммниками (14 пар клемм). 
"Крестовая". Под 4 кабельных ввода или Ех заглушки(приобретаются отдельно).</v>
      </c>
      <c r="C317" s="9">
        <f ca="1">IFERROR(__xludf.DUMMYFUNCTION("""COMPUTED_VALUE"""),3894)</f>
        <v>3894</v>
      </c>
      <c r="D317" s="6"/>
      <c r="E317" s="8"/>
    </row>
    <row r="318" spans="1:5" ht="63.75">
      <c r="A318" s="5" t="str">
        <f ca="1">IFERROR(__xludf.DUMMYFUNCTION("""COMPUTED_VALUE"""),"Ex-коробка металлическая «СЕВЕРЛЕНД» (Под 1 кабельный ввод или Ех заглушку) керамические клеммники
 1Еx d IIC T6…T5 Gb
АТФЕ.685552.153")</f>
        <v>Ex-коробка металлическая «СЕВЕРЛЕНД» (Под 1 кабельный ввод или Ех заглушку) керамические клеммники
 1Еx d IIC T6…T5 Gb
АТФЕ.685552.153</v>
      </c>
      <c r="B318" s="6" t="str">
        <f ca="1">IFERROR(__xludf.DUMMYFUNCTION("""COMPUTED_VALUE"""),"117 х 117 х 85мм. IP66/IP68. Комплектуются керамическими клеммниками (8 пар клемм). 
Под 1 кабельный ввод или Ех заглушку (приобретаются отдельно).")</f>
        <v>117 х 117 х 85мм. IP66/IP68. Комплектуются керамическими клеммниками (8 пар клемм). 
Под 1 кабельный ввод или Ех заглушку (приобретаются отдельно).</v>
      </c>
      <c r="C318" s="9">
        <f ca="1">IFERROR(__xludf.DUMMYFUNCTION("""COMPUTED_VALUE"""),3630)</f>
        <v>3630</v>
      </c>
      <c r="D318" s="6"/>
      <c r="E318" s="8"/>
    </row>
    <row r="319" spans="1:5" ht="63.75">
      <c r="A319" s="5" t="str">
        <f ca="1">IFERROR(__xludf.DUMMYFUNCTION("""COMPUTED_VALUE"""),"Ex-коробка металлическая «СЕВЕРЛЕНД» П (""Проходная"". Под 2 кабельных ввода или Ех заглушки) керамические клеммники
 1Еx d IIC T6…T5 Gb
АТФЕ.685552.153")</f>
        <v>Ex-коробка металлическая «СЕВЕРЛЕНД» П ("Проходная". Под 2 кабельных ввода или Ех заглушки) керамические клеммники
 1Еx d IIC T6…T5 Gb
АТФЕ.685552.153</v>
      </c>
      <c r="B319" s="6" t="str">
        <f ca="1">IFERROR(__xludf.DUMMYFUNCTION("""COMPUTED_VALUE"""),"117 х 117 х 85мм. IP66/IP68. Комплектуются керамическими клеммниками (8 пар клемм).
""Проходная"". Под 2 кабельных ввода или Ех заглушки (приобретаются отдельно).")</f>
        <v>117 х 117 х 85мм. IP66/IP68. Комплектуются керамическими клеммниками (8 пар клемм).
"Проходная". Под 2 кабельных ввода или Ех заглушки (приобретаются отдельно).</v>
      </c>
      <c r="C319" s="9">
        <f ca="1">IFERROR(__xludf.DUMMYFUNCTION("""COMPUTED_VALUE"""),3663)</f>
        <v>3663</v>
      </c>
      <c r="D319" s="6"/>
      <c r="E319" s="8"/>
    </row>
    <row r="320" spans="1:5" ht="63.75">
      <c r="A320" s="5" t="str">
        <f ca="1">IFERROR(__xludf.DUMMYFUNCTION("""COMPUTED_VALUE"""),"Ex-коробка металлическая «СЕВЕРЛЕНД» У  (""Угловая"". Под 2 кабельных ввода или Ех заглушки) керамические клеммники
 1Еx d IIC T6…T5 Gb
АТФЕ.685552.153")</f>
        <v>Ex-коробка металлическая «СЕВЕРЛЕНД» У  ("Угловая". Под 2 кабельных ввода или Ех заглушки) керамические клеммники
 1Еx d IIC T6…T5 Gb
АТФЕ.685552.153</v>
      </c>
      <c r="B320" s="6" t="str">
        <f ca="1">IFERROR(__xludf.DUMMYFUNCTION("""COMPUTED_VALUE"""),"117 х 117 х 85мм. IP66/IP68. Комплектуются керамическими клеммниками (8 пар клемм). 
""Угловая"". Под 2 кабельных ввода или Ех заглушки (приобретаются отдельно).")</f>
        <v>117 х 117 х 85мм. IP66/IP68. Комплектуются керамическими клеммниками (8 пар клемм). 
"Угловая". Под 2 кабельных ввода или Ех заглушки (приобретаются отдельно).</v>
      </c>
      <c r="C320" s="9">
        <f ca="1">IFERROR(__xludf.DUMMYFUNCTION("""COMPUTED_VALUE"""),3663)</f>
        <v>3663</v>
      </c>
      <c r="D320" s="6"/>
      <c r="E320" s="8"/>
    </row>
    <row r="321" spans="1:5" ht="76.5">
      <c r="A321" s="5" t="str">
        <f ca="1">IFERROR(__xludf.DUMMYFUNCTION("""COMPUTED_VALUE"""),"Ex-коробка металлическая «СЕВЕРЛЕНД» Т (""Тройниковая"". Под 3 кабельных ввода или Ех заглушки) керамические клеммники
 1Еx d IIC T6…T5 Gb
АТФЕ.685552.153")</f>
        <v>Ex-коробка металлическая «СЕВЕРЛЕНД» Т ("Тройниковая". Под 3 кабельных ввода или Ех заглушки) керамические клеммники
 1Еx d IIC T6…T5 Gb
АТФЕ.685552.153</v>
      </c>
      <c r="B321" s="6" t="str">
        <f ca="1">IFERROR(__xludf.DUMMYFUNCTION("""COMPUTED_VALUE"""),"117 х 117 х 85мм. IP66/IP68. Комплектуются керамическими клеммниками (8 пар клемм). 
""Тройниковая"". Под 3 кабельных ввода или Ех заглушки (приобретаются отдельно).")</f>
        <v>117 х 117 х 85мм. IP66/IP68. Комплектуются керамическими клеммниками (8 пар клемм). 
"Тройниковая". Под 3 кабельных ввода или Ех заглушки (приобретаются отдельно).</v>
      </c>
      <c r="C321" s="9">
        <f ca="1">IFERROR(__xludf.DUMMYFUNCTION("""COMPUTED_VALUE"""),3872)</f>
        <v>3872</v>
      </c>
      <c r="D321" s="6"/>
      <c r="E321" s="8"/>
    </row>
    <row r="322" spans="1:5" ht="63.75">
      <c r="A322" s="5" t="str">
        <f ca="1">IFERROR(__xludf.DUMMYFUNCTION("""COMPUTED_VALUE"""),"Ex-коробка металлическая «СЕВЕРЛЕНД» К (""Крестовая"". Под 4 кабельных ввода или Ех заглушки) керамические клеммники
 1Еx d IIC T6…T5 Gb
АТФЕ.685552.153")</f>
        <v>Ex-коробка металлическая «СЕВЕРЛЕНД» К ("Крестовая". Под 4 кабельных ввода или Ех заглушки) керамические клеммники
 1Еx d IIC T6…T5 Gb
АТФЕ.685552.153</v>
      </c>
      <c r="B322" s="6" t="str">
        <f ca="1">IFERROR(__xludf.DUMMYFUNCTION("""COMPUTED_VALUE"""),"117 х 117 х 85мм. IP66/IP68. Комплектуются керамическими клеммниками (8 пар клемм). 
""Крестовая"". Под 4 кабельных ввода или Ех заглушки(приобретаются отдельно).")</f>
        <v>117 х 117 х 85мм. IP66/IP68. Комплектуются керамическими клеммниками (8 пар клемм). 
"Крестовая". Под 4 кабельных ввода или Ех заглушки(приобретаются отдельно).</v>
      </c>
      <c r="C322" s="9">
        <f ca="1">IFERROR(__xludf.DUMMYFUNCTION("""COMPUTED_VALUE"""),4114)</f>
        <v>4114</v>
      </c>
      <c r="D322" s="6"/>
      <c r="E322" s="8"/>
    </row>
    <row r="323" spans="1:5" ht="102">
      <c r="A323" s="5" t="str">
        <f ca="1">IFERROR(__xludf.DUMMYFUNCTION("""COMPUTED_VALUE"""),"Ех-коробка металлическая «СЕВЕРЛЕНД» П, ВН20 + ВН20")</f>
        <v>Ех-коробка металлическая «СЕВЕРЛЕНД» П, ВН20 + ВН20</v>
      </c>
      <c r="B323" s="6" t="str">
        <f ca="1">IFERROR(__xludf.DUMMYFUNCTION("""COMPUTED_VALUE"""),"""Проходная""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"Проходная"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3" s="9">
        <f ca="1">IFERROR(__xludf.DUMMYFUNCTION("""COMPUTED_VALUE"""),4800)</f>
        <v>4800</v>
      </c>
      <c r="D323" s="6"/>
      <c r="E323" s="8"/>
    </row>
    <row r="324" spans="1:5" ht="114.75">
      <c r="A324" s="5" t="str">
        <f ca="1">IFERROR(__xludf.DUMMYFUNCTION("""COMPUTED_VALUE"""),"Ех-коробка металлическая «СЕВЕРЛЕНД» П, МКВМ М20 + МКВМ М20")</f>
        <v>Ех-коробка металлическая «СЕВЕРЛЕНД» П, МКВМ М20 + МКВМ М20</v>
      </c>
      <c r="B324" s="6" t="str">
        <f ca="1">IFERROR(__xludf.DUMMYFUNCTION("""COMPUTED_VALUE"""),"""Проходная""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клеммника"&amp;"ми (14 пар клемм).")</f>
        <v>"Проходная"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4" s="9">
        <f ca="1">IFERROR(__xludf.DUMMYFUNCTION("""COMPUTED_VALUE"""),10200)</f>
        <v>10200</v>
      </c>
      <c r="D324" s="6"/>
      <c r="E324" s="8"/>
    </row>
    <row r="325" spans="1:5" ht="89.25">
      <c r="A325" s="5" t="str">
        <f ca="1">IFERROR(__xludf.DUMMYFUNCTION("""COMPUTED_VALUE"""),"Ех-коробка металлическая «СЕВЕРЛЕНД» У, ВН20 + ВН20")</f>
        <v>Ех-коробка металлическая «СЕВЕРЛЕНД» У, ВН20 + ВН20</v>
      </c>
      <c r="B325" s="6" t="str">
        <f ca="1">IFERROR(__xludf.DUMMYFUNCTION("""COMPUTED_VALUE"""),"""Угловая""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"Угловая" Ех-коробка укомплектованныя двумя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5" s="9">
        <f ca="1">IFERROR(__xludf.DUMMYFUNCTION("""COMPUTED_VALUE"""),4800)</f>
        <v>4800</v>
      </c>
      <c r="D325" s="6"/>
      <c r="E325" s="8"/>
    </row>
    <row r="326" spans="1:5" ht="102">
      <c r="A326" s="5" t="str">
        <f ca="1">IFERROR(__xludf.DUMMYFUNCTION("""COMPUTED_VALUE"""),"Ех-коробка металлическая «СЕВЕРЛЕНД» У, МКВМ М20 + МКВМ М20")</f>
        <v>Ех-коробка металлическая «СЕВЕРЛЕНД» У, МКВМ М20 + МКВМ М20</v>
      </c>
      <c r="B326" s="6" t="str">
        <f ca="1">IFERROR(__xludf.DUMMYFUNCTION("""COMPUTED_VALUE"""),"""Угловая""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клеммниками"&amp;" (14 пар клемм).")</f>
        <v>"Угловая" Ех-коробка укомплектованныя двумя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6" s="9">
        <f ca="1">IFERROR(__xludf.DUMMYFUNCTION("""COMPUTED_VALUE"""),10200)</f>
        <v>10200</v>
      </c>
      <c r="D326" s="6"/>
      <c r="E326" s="8"/>
    </row>
    <row r="327" spans="1:5" ht="102">
      <c r="A327" s="5" t="str">
        <f ca="1">IFERROR(__xludf.DUMMYFUNCTION("""COMPUTED_VALUE"""),"Ех-коробка металлическая «СЕВЕРЛЕНД» Т, ВН20 + ВН20 + ВН20")</f>
        <v>Ех-коробка металлическая «СЕВЕРЛЕНД» Т, ВН20 + ВН20 + ВН20</v>
      </c>
      <c r="B327" s="6" t="str">
        <f ca="1">IFERROR(__xludf.DUMMYFUNCTION("""COMPUTED_VALUE"""),"""Тройниковая"" Ех-коробка укомплектованныя тремя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"Тройниковая" Ех-коробка укомплектованныя тремя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7" s="9">
        <f ca="1">IFERROR(__xludf.DUMMYFUNCTION("""COMPUTED_VALUE"""),5800)</f>
        <v>5800</v>
      </c>
      <c r="D327" s="6"/>
      <c r="E327" s="8"/>
    </row>
    <row r="328" spans="1:5" ht="114.75">
      <c r="A328" s="5" t="str">
        <f ca="1">IFERROR(__xludf.DUMMYFUNCTION("""COMPUTED_VALUE"""),"Ех-коробка металлическая «СЕВЕРЛЕНД» Т, МКВМ М20 + МКВМ М20 + МКВМ М20")</f>
        <v>Ех-коробка металлическая «СЕВЕРЛЕНД» Т, МКВМ М20 + МКВМ М20 + МКВМ М20</v>
      </c>
      <c r="B328" s="6" t="str">
        <f ca="1">IFERROR(__xludf.DUMMYFUNCTION("""COMPUTED_VALUE"""),"""Тройниковая"" Ех-коробка укомплектованныя тремя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клеммни"&amp;"ками (14 пар клемм).")</f>
        <v>"Тройниковая" Ех-коробка укомплектованныя тремя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8" s="9">
        <f ca="1">IFERROR(__xludf.DUMMYFUNCTION("""COMPUTED_VALUE"""),14400)</f>
        <v>14400</v>
      </c>
      <c r="D328" s="6"/>
      <c r="E328" s="8"/>
    </row>
    <row r="329" spans="1:5" ht="102">
      <c r="A329" s="5" t="str">
        <f ca="1">IFERROR(__xludf.DUMMYFUNCTION("""COMPUTED_VALUE"""),"Ех-коробка металлическая «СЕВЕРЛЕНД» К, ВН20 + ВН20 + ВН20 +ВН20")</f>
        <v>Ех-коробка металлическая «СЕВЕРЛЕНД» К, ВН20 + ВН20 + ВН20 +ВН20</v>
      </c>
      <c r="B329" s="6" t="str">
        <f ca="1">IFERROR(__xludf.DUMMYFUNCTION("""COMPUTED_VALUE"""),"""Крестовая"" Ех-коробка укомплектованныя четырьмя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f>
        <v>"Крестовая" Ех-коробка укомплектованныя четырьмя кабельных вводами ВН20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29" s="9">
        <f ca="1">IFERROR(__xludf.DUMMYFUNCTION("""COMPUTED_VALUE"""),6700)</f>
        <v>6700</v>
      </c>
      <c r="D329" s="6"/>
      <c r="E329" s="8"/>
    </row>
    <row r="330" spans="1:5" ht="114.75">
      <c r="A330" s="5" t="str">
        <f ca="1">IFERROR(__xludf.DUMMYFUNCTION("""COMPUTED_VALUE"""),"Ех-коробка металлическая «СЕВЕРЛЕНД» К, МКВМ М20 + МКВМ М20 + МКВМ М20 + МКВМ М20")</f>
        <v>Ех-коробка металлическая «СЕВЕРЛЕНД» К, МКВМ М20 + МКВМ М20 + МКВМ М20 + МКВМ М20</v>
      </c>
      <c r="B330" s="6" t="str">
        <f ca="1">IFERROR(__xludf.DUMMYFUNCTION("""COMPUTED_VALUE"""),"""Крестовая"" Ех-коробка укомплектованныя четырьмя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клеммн"&amp;"иками (14 пар клемм).")</f>
        <v>"Крестовая" Ех-коробка укомплектованныя четырьмя кабельных вводами Ех МКВМ20 из нержавеющей стали (под открытую прокладку кабеля, резьба М20х1,5, 20мм). Проходной Ø кабеля - 6-12 мм. Коробка 117 х 117 х 85мм. IP66/IP68. Комплектуются пластиковыми клеммниками (14 пар клемм).</v>
      </c>
      <c r="C330" s="9">
        <f ca="1">IFERROR(__xludf.DUMMYFUNCTION("""COMPUTED_VALUE"""),18600)</f>
        <v>18600</v>
      </c>
      <c r="D330" s="6"/>
      <c r="E330" s="8"/>
    </row>
    <row r="331" spans="1:5" ht="76.5">
      <c r="A331" s="5" t="str">
        <f ca="1">IFERROR(__xludf.DUMMYFUNCTION("""COMPUTED_VALUE"""),"Ех-заглушка ВЗ 01 М Н (под Ø 16)
1Ex d IIС Gb/PB Ex d I Mb или Ex tb IIIС Db или 0Ex ia IIC Ga или 1Ex e IIС Gb ")</f>
        <v xml:space="preserve">Ех-заглушка ВЗ 01 М Н (под Ø 16)
1Ex d IIС Gb/PB Ex d I Mb или Ex tb IIIС Db или 0Ex ia IIC Ga или 1Ex e IIС Gb </v>
      </c>
      <c r="B331" s="6" t="str">
        <f ca="1">IFERROR(__xludf.DUMMYFUNCTION("""COMPUTED_VALUE"""),"Для закрытия неиспользуемых отверстий в корпусах взрывозащищённого оборудования под Ø 16, тип резьбы - метрическая. Степень защиты оболочки вводов – IP66/ IP68. Нержавеющая сталь. Резьба М16х1,5.")</f>
        <v>Для закрытия неиспользуемых отверстий в корпусах взрывозащищённого оборудования под Ø 16, тип резьбы - метрическая. Степень защиты оболочки вводов – IP66/ IP68. Нержавеющая сталь. Резьба М16х1,5.</v>
      </c>
      <c r="C331" s="9">
        <f ca="1">IFERROR(__xludf.DUMMYFUNCTION("""COMPUTED_VALUE"""),986.271)</f>
        <v>986.27099999999996</v>
      </c>
      <c r="D331" s="6"/>
      <c r="E331" s="8"/>
    </row>
    <row r="332" spans="1:5" ht="76.5">
      <c r="A332" s="5" t="str">
        <f ca="1">IFERROR(__xludf.DUMMYFUNCTION("""COMPUTED_VALUE"""),"Ех-заглушка ВЗ 1 М Н (под Ø 20)
1Ex d IIС Gb/PB Ex d I Mb или 
  Ex tb IIIС Db или 0Ex ia IIC Ga или 1Ex e IIС Gb")</f>
        <v>Ех-заглушка ВЗ 1 М Н (под Ø 20)
1Ex d IIС Gb/PB Ex d I Mb или 
  Ex tb IIIС Db или 0Ex ia IIC Ga или 1Ex e IIС Gb</v>
      </c>
      <c r="B332" s="6" t="str">
        <f ca="1">IFERROR(__xludf.DUMMYFUNCTION("""COMPUTED_VALUE"""),"Для закрытия неиспользуемых отверстий в корпусах взрывозащищённого оборудования под Ø 20, тип резьбы - метрическая. Степень защиты оболочки вводов – IP66/ IP68. Нержавеющая сталь. Резьба М20х1,5.")</f>
        <v>Для закрытия неиспользуемых отверстий в корпусах взрывозащищённого оборудования под Ø 20, тип резьбы - метрическая. Степень защиты оболочки вводов – IP66/ IP68. Нержавеющая сталь. Резьба М20х1,5.</v>
      </c>
      <c r="C332" s="9">
        <f ca="1">IFERROR(__xludf.DUMMYFUNCTION("""COMPUTED_VALUE"""),1017.412)</f>
        <v>1017.412</v>
      </c>
      <c r="D332" s="6"/>
      <c r="E332" s="8"/>
    </row>
    <row r="333" spans="1:5" ht="76.5">
      <c r="A333" s="5" t="str">
        <f ca="1">IFERROR(__xludf.DUMMYFUNCTION("""COMPUTED_VALUE"""),"Ех-заглушка ВЗ 2 М Н (под Ø 25)
1Ex d IIС Gb/PB Ex d I Mb или 
  Ex tb IIIС Db или 0Ex ia IIC Ga или 1Ex e IIС Gb")</f>
        <v>Ех-заглушка ВЗ 2 М Н (под Ø 25)
1Ex d IIС Gb/PB Ex d I Mb или 
  Ex tb IIIС Db или 0Ex ia IIC Ga или 1Ex e IIС Gb</v>
      </c>
      <c r="B333" s="6" t="str">
        <f ca="1">IFERROR(__xludf.DUMMYFUNCTION("""COMPUTED_VALUE"""),"Для закрытия неиспользуемых отверстий в корпусах взрывозащищённого оборудования под Ø 25, тип резьбы - метрическая. Степень защиты оболочки вводов – IP66/ IP68. Нержавеющая сталь. Резьба М25х1,5.")</f>
        <v>Для закрытия неиспользуемых отверстий в корпусах взрывозащищённого оборудования под Ø 25, тип резьбы - метрическая. Степень защиты оболочки вводов – IP66/ IP68. Нержавеющая сталь. Резьба М25х1,5.</v>
      </c>
      <c r="C333" s="9">
        <f ca="1">IFERROR(__xludf.DUMMYFUNCTION("""COMPUTED_VALUE"""),1287.341)</f>
        <v>1287.3409999999999</v>
      </c>
      <c r="D333" s="6"/>
      <c r="E333" s="8"/>
    </row>
    <row r="334" spans="1:5" ht="76.5">
      <c r="A334" s="5" t="str">
        <f ca="1">IFERROR(__xludf.DUMMYFUNCTION("""COMPUTED_VALUE"""),"Ех-заглушка ВЗ 3 М Н  (под Ø 32)
1Ex d IIС Gb/PB Ex d I Mb или 
  Ex tb IIIС Db или 0Ex ia IIC Ga или 1Ex e IIС Gb")</f>
        <v>Ех-заглушка ВЗ 3 М Н  (под Ø 32)
1Ex d IIС Gb/PB Ex d I Mb или 
  Ex tb IIIС Db или 0Ex ia IIC Ga или 1Ex e IIС Gb</v>
      </c>
      <c r="B334" s="6" t="str">
        <f ca="1">IFERROR(__xludf.DUMMYFUNCTION("""COMPUTED_VALUE"""),"Для закрытия неиспользуемых отверстий в корпусах взрывозащищённого оборудования под Ø 32, тип резьбы - метрическая. Степень защиты оболочки вводов – IP66/ IP68. Нержавеющая сталь. Резьба М32х1,5.")</f>
        <v>Для закрытия неиспользуемых отверстий в корпусах взрывозащищённого оборудования под Ø 32, тип резьбы - метрическая. Степень защиты оболочки вводов – IP66/ IP68. Нержавеющая сталь. Резьба М32х1,5.</v>
      </c>
      <c r="C334" s="9">
        <f ca="1">IFERROR(__xludf.DUMMYFUNCTION("""COMPUTED_VALUE"""),1474.22)</f>
        <v>1474.22</v>
      </c>
      <c r="D334" s="6"/>
      <c r="E334" s="8"/>
    </row>
    <row r="335" spans="1:5" ht="63.75">
      <c r="A335" s="5" t="str">
        <f ca="1">IFERROR(__xludf.DUMMYFUNCTION("""COMPUTED_VALUE"""),"Ех-заглушка ВЗ под Ø 12 - 90 
1Ex d IIС Gb/PB Ex d I Mb или 
  Ex tb IIIС Db или 0Ex ia IIC Ga или 1Ex e IIС Gb")</f>
        <v>Ех-заглушка ВЗ под Ø 12 - 90 
1Ex d IIС Gb/PB Ex d I Mb или 
  Ex tb IIIС Db или 0Ex ia IIC Ga или 1Ex e IIС Gb</v>
      </c>
      <c r="B335" s="6" t="str">
        <f ca="1">IFERROR(__xludf.DUMMYFUNCTION("""COMPUTED_VALUE"""),"Для закрытия неиспользуемых отверстий в корпусах взрывозащищённого оборудования. Материал, диаметр и тип резьбы определяется при заказе. Степень защиты оболочки вводов – IP66/ IP68.")</f>
        <v>Для закрытия неиспользуемых отверстий в корпусах взрывозащищённого оборудования. Материал, диаметр и тип резьбы определяется при заказе. Степень защиты оболочки вводов – IP66/ IP68.</v>
      </c>
      <c r="C335" s="9" t="str">
        <f ca="1">IFERROR(__xludf.DUMMYFUNCTION("""COMPUTED_VALUE"""),"по запросу")</f>
        <v>по запросу</v>
      </c>
      <c r="D335" s="6"/>
      <c r="E335" s="8"/>
    </row>
    <row r="336" spans="1:5" ht="114.75">
      <c r="A336" s="5" t="str">
        <f ca="1">IFERROR(__xludf.DUMMYFUNCTION("""COMPUTED_VALUE"""),"Р16 
 М16х1,5, 1ExdIIC/1ExeIIC/2ExnRIIC/Ex ta IIIC
 Da, IP 66/67/68, Ni")</f>
        <v>Р16 
 М16х1,5, 1ExdIIC/1ExeIIC/2ExnRIIC/Ex ta IIIC
 Da, IP 66/67/68, Ni</v>
      </c>
      <c r="B336" s="6" t="str">
        <f ca="1">IFERROR(__xludf.DUMMYFUNCTION("""COMPUTED_VALUE"""),"Р16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М16х1,5, IP 66/67/68, Никелированная латунь")</f>
        <v>Р16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М16х1,5, IP 66/67/68, Никелированная латунь</v>
      </c>
      <c r="C336" s="9">
        <f ca="1">IFERROR(__xludf.DUMMYFUNCTION("""COMPUTED_VALUE"""),326.7)</f>
        <v>326.7</v>
      </c>
      <c r="D336" s="6"/>
      <c r="E336" s="8"/>
    </row>
    <row r="337" spans="1:5" ht="114.75">
      <c r="A337" s="5" t="str">
        <f ca="1">IFERROR(__xludf.DUMMYFUNCTION("""COMPUTED_VALUE"""),"Р20
 М20х1,5, 1ExdIIC/1ExeIIC/2ExnRIIC/Ex ta IIIC
 Da, IP 66/67/68, Ni")</f>
        <v>Р20
 М20х1,5, 1ExdIIC/1ExeIIC/2ExnRIIC/Ex ta IIIC
 Da, IP 66/67/68, Ni</v>
      </c>
      <c r="B337" s="6" t="str">
        <f ca="1">IFERROR(__xludf.DUMMYFUNCTION("""COMPUTED_VALUE"""),"Р20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М20х1,5,  IP 66/67/68, Никелированная латунь")</f>
        <v>Р20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М20х1,5,  IP 66/67/68, Никелированная латунь</v>
      </c>
      <c r="C337" s="9">
        <f ca="1">IFERROR(__xludf.DUMMYFUNCTION("""COMPUTED_VALUE"""),480)</f>
        <v>480</v>
      </c>
      <c r="D337" s="6"/>
      <c r="E337" s="8"/>
    </row>
    <row r="338" spans="1:5" ht="114.75">
      <c r="A338" s="5" t="str">
        <f ca="1">IFERROR(__xludf.DUMMYFUNCTION("""COMPUTED_VALUE"""),"Р25
 М25х1,5, 1ExdIIC/1ExeIIC/2ExnRIIC/Ex ta IIIC
 Da, IP 66/67/68, Ni")</f>
        <v>Р25
 М25х1,5, 1ExdIIC/1ExeIIC/2ExnRIIC/Ex ta IIIC
 Da, IP 66/67/68, Ni</v>
      </c>
      <c r="B338" s="6" t="str">
        <f ca="1">IFERROR(__xludf.DUMMYFUNCTION("""COMPUTED_VALUE"""),"Р25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М25х1,5, IP 66/67/68, Никелированная латунь")</f>
        <v>Р25 (-60+130) - Взрывозащищенная заглушка
 серии Р, предназначена для обеспечения
 временных или постоянных средств
 консервации неиспользованных вводных
 отверстий взрывозащищенных корпусов
 М25х1,5, IP 66/67/68, Никелированная латунь</v>
      </c>
      <c r="C338" s="9">
        <f ca="1">IFERROR(__xludf.DUMMYFUNCTION("""COMPUTED_VALUE"""),720)</f>
        <v>720</v>
      </c>
      <c r="D338" s="6"/>
      <c r="E338" s="8"/>
    </row>
    <row r="339" spans="1:5" ht="51">
      <c r="A339" s="5" t="str">
        <f ca="1">IFERROR(__xludf.DUMMYFUNCTION("""COMPUTED_VALUE"""),"Ех-переходник МКВМ 01МН 1МН Н 
(М16х1,5/М20х1,5)
1Ex d IIС Gb/PB Ex d I Mb или 
  Ex tb IIIС Db или 0Ex ia IIC Ga или 1Ex e IIС Gb")</f>
        <v>Ех-переходник МКВМ 01МН 1МН Н 
(М16х1,5/М20х1,5)
1Ex d IIС Gb/PB Ex d I Mb или 
  Ex tb IIIС Db или 0Ex ia IIC Ga или 1Ex e IIС Gb</v>
      </c>
      <c r="B339" s="6" t="str">
        <f ca="1">IFERROR(__xludf.DUMMYFUNCTION("""COMPUTED_VALUE"""),"Переход с внешней резьбы М16х1,5 на внешнюю резьбу М20х1,5. Степень защиты оболочки вводов – IP66/ IP68. Нержавеющая сталь.")</f>
        <v>Переход с внешней резьбы М16х1,5 на внешнюю резьбу М20х1,5. Степень защиты оболочки вводов – IP66/ IP68. Нержавеющая сталь.</v>
      </c>
      <c r="C339" s="9">
        <f ca="1">IFERROR(__xludf.DUMMYFUNCTION("""COMPUTED_VALUE"""),830.06)</f>
        <v>830.06</v>
      </c>
      <c r="D339" s="6"/>
      <c r="E339" s="8"/>
    </row>
    <row r="340" spans="1:5" ht="51">
      <c r="A340" s="5" t="str">
        <f ca="1">IFERROR(__xludf.DUMMYFUNCTION("""COMPUTED_VALUE"""),"Ех-переходник МКВМ 1МН 2МН Н 
(М20х1,5/М25х1,5)
1Ex d IIС Gb/PB Ex d I Mb или 
  Ex tb IIIС Db или 0Ex ia IIC Ga или 1Ex e IIС Gb")</f>
        <v>Ех-переходник МКВМ 1МН 2МН Н 
(М20х1,5/М25х1,5)
1Ex d IIС Gb/PB Ex d I Mb или 
  Ex tb IIIС Db или 0Ex ia IIC Ga или 1Ex e IIС Gb</v>
      </c>
      <c r="B340" s="6" t="str">
        <f ca="1">IFERROR(__xludf.DUMMYFUNCTION("""COMPUTED_VALUE"""),"Переход с внешней резьбы М20х1,5 на внешнюю резьбу М25х1,5. Степень защиты оболочки вводов – IP66/ IP68. Нержавеющая сталь.")</f>
        <v>Переход с внешней резьбы М20х1,5 на внешнюю резьбу М25х1,5. Степень защиты оболочки вводов – IP66/ IP68. Нержавеющая сталь.</v>
      </c>
      <c r="C340" s="9">
        <f ca="1">IFERROR(__xludf.DUMMYFUNCTION("""COMPUTED_VALUE"""),830.06)</f>
        <v>830.06</v>
      </c>
      <c r="D340" s="6"/>
      <c r="E340" s="8"/>
    </row>
    <row r="341" spans="1:5" ht="63.75">
      <c r="A341" s="5" t="str">
        <f ca="1">IFERROR(__xludf.DUMMYFUNCTION("""COMPUTED_VALUE"""),"Ех-переходник МКВМ Ø 12 - 90 
1Ex d IIС Gb/PB Ex d I Mb или 
  Ex tb IIIС Db или 0Ex ia IIC Ga или 1Ex e IIС Gb")</f>
        <v>Ех-переходник МКВМ Ø 12 - 90 
1Ex d IIС Gb/PB Ex d I Mb или 
  Ex tb IIIС Db или 0Ex ia IIC Ga или 1Ex e IIС Gb</v>
      </c>
      <c r="B341" s="6" t="str">
        <f ca="1">IFERROR(__xludf.DUMMYFUNCTION("""COMPUTED_VALUE"""),"Для изменения диаметра и/или изменения типа резьбы вводных отверстий. Материал, диаметр, тип и вид резьбы определяется при заказе. Степень защиты оболочки вводов – IP66/ IP68.")</f>
        <v>Для изменения диаметра и/или изменения типа резьбы вводных отверстий. Материал, диаметр, тип и вид резьбы определяется при заказе. Степень защиты оболочки вводов – IP66/ IP68.</v>
      </c>
      <c r="C341" s="9" t="str">
        <f ca="1">IFERROR(__xludf.DUMMYFUNCTION("""COMPUTED_VALUE"""),"по запросу")</f>
        <v>по запросу</v>
      </c>
      <c r="D341" s="6"/>
      <c r="E341" s="8"/>
    </row>
    <row r="342" spans="1:5" ht="76.5">
      <c r="A342" s="5" t="str">
        <f ca="1">IFERROR(__xludf.DUMMYFUNCTION("""COMPUTED_VALUE"""),"Ех МКВМ М16 К")</f>
        <v>Ех МКВМ М16 К</v>
      </c>
      <c r="B342" s="6" t="str">
        <f ca="1">IFERROR(__xludf.DUMMYFUNCTION("""COMPUTED_VALUE"""),"Ех МКВМ М16 К ( -70+200) Взрывозащищенный кабельный ввод для всех типов небронированного кабеля круглого сечения обжатие кабеля d 4-11мм, М16х1,5, нержавеющая сталь, IP 66/67/68")</f>
        <v>Ех МКВМ М16 К ( -70+200) Взрывозащищенный кабельный ввод для всех типов небронированного кабеля круглого сечения обжатие кабеля d 4-11мм, М16х1,5, нержавеющая сталь, IP 66/67/68</v>
      </c>
      <c r="C342" s="9">
        <f ca="1">IFERROR(__xludf.DUMMYFUNCTION("""COMPUTED_VALUE"""),3773)</f>
        <v>3773</v>
      </c>
      <c r="D342" s="6"/>
      <c r="E342" s="8"/>
    </row>
    <row r="343" spans="1:5" ht="76.5">
      <c r="A343" s="5" t="str">
        <f ca="1">IFERROR(__xludf.DUMMYFUNCTION("""COMPUTED_VALUE"""),"Ех МКВМ М16 В")</f>
        <v>Ех МКВМ М16 В</v>
      </c>
      <c r="B343" s="6" t="str">
        <f ca="1">IFERROR(__xludf.DUMMYFUNCTION("""COMPUTED_VALUE"""),"Ех МКВМ М16 В ( -70+200) Взрывозащищенный кабельный ввод для всех типов бронированного кабеля круглого сечения обжатие кабеля d 4-11мм, М16х1,5, нержавеющая сталь, IP 66/67/68")</f>
        <v>Ех МКВМ М16 В ( -70+200) Взрывозащищенный кабельный ввод для всех типов бронированного кабеля круглого сечения обжатие кабеля d 4-11мм, М16х1,5, нержавеющая сталь, IP 66/67/68</v>
      </c>
      <c r="C343" s="9">
        <f ca="1">IFERROR(__xludf.DUMMYFUNCTION("""COMPUTED_VALUE"""),3773)</f>
        <v>3773</v>
      </c>
      <c r="D343" s="6"/>
      <c r="E343" s="8"/>
    </row>
    <row r="344" spans="1:5" ht="114.75">
      <c r="A344" s="5" t="str">
        <f ca="1">IFERROR(__xludf.DUMMYFUNCTION("""COMPUTED_VALUE"""),"Ех МКВМ М16 Т3/4")</f>
        <v>Ех МКВМ М16 Т3/4</v>
      </c>
      <c r="B344" s="6" t="str">
        <f ca="1">IFERROR(__xludf.DUMMYFUNCTION("""COMPUTED_VALUE"""),"Ех МКВМ М16 К ( -70+200) Взрывозащищенный кабельный ввод для всех типов
 небронированного кабеля круглого сечения,
 проложенного в трубе, обжатие кабеля d 4-11 мм, диаметр трубной резьбы G3/4, М16х1,5, нержавеющая сталь IP 66/67/68")</f>
        <v>Ех МКВМ М16 К ( -70+200) Взрывозащищенный кабельный ввод для всех типов
 небронированного кабеля круглого сечения,
 проложенного в трубе, обжатие кабеля d 4-11 мм, диаметр трубной резьбы G3/4, М16х1,5, нержавеющая сталь IP 66/67/68</v>
      </c>
      <c r="C344" s="9">
        <f ca="1">IFERROR(__xludf.DUMMYFUNCTION("""COMPUTED_VALUE"""),3773)</f>
        <v>3773</v>
      </c>
      <c r="D344" s="6"/>
      <c r="E344" s="8"/>
    </row>
    <row r="345" spans="1:5" ht="89.25">
      <c r="A345" s="5" t="str">
        <f ca="1">IFERROR(__xludf.DUMMYFUNCTION("""COMPUTED_VALUE"""),"Ех МКВМ М16 КМ8")</f>
        <v>Ех МКВМ М16 КМ8</v>
      </c>
      <c r="B345" s="6" t="str">
        <f ca="1">IFERROR(__xludf.DUMMYFUNCTION("""COMPUTED_VALUE"""),"Ех МКВМ М16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М16х1,5, нержавеющая сталь IP 66/67/68")</f>
        <v>Ех МКВМ М16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М16х1,5, нержавеющая сталь IP 66/67/68</v>
      </c>
      <c r="C345" s="9">
        <f ca="1">IFERROR(__xludf.DUMMYFUNCTION("""COMPUTED_VALUE"""),3773)</f>
        <v>3773</v>
      </c>
      <c r="D345" s="6"/>
      <c r="E345" s="8"/>
    </row>
    <row r="346" spans="1:5" ht="89.25">
      <c r="A346" s="5" t="str">
        <f ca="1">IFERROR(__xludf.DUMMYFUNCTION("""COMPUTED_VALUE"""),"Ех МКВМ М16 КМ10")</f>
        <v>Ех МКВМ М16 КМ10</v>
      </c>
      <c r="B346" s="6" t="str">
        <f ca="1">IFERROR(__xludf.DUMMYFUNCTION("""COMPUTED_VALUE"""),"Ех МКВМ М16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М16х1,5, нержавеющая сталь IP 66/67/68")</f>
        <v>Ех МКВМ М16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М16х1,5, нержавеющая сталь IP 66/67/68</v>
      </c>
      <c r="C346" s="9">
        <f ca="1">IFERROR(__xludf.DUMMYFUNCTION("""COMPUTED_VALUE"""),3773)</f>
        <v>3773</v>
      </c>
      <c r="D346" s="6"/>
      <c r="E346" s="8"/>
    </row>
    <row r="347" spans="1:5" ht="89.25">
      <c r="A347" s="5" t="str">
        <f ca="1">IFERROR(__xludf.DUMMYFUNCTION("""COMPUTED_VALUE"""),"Ех МКВМ М16 КМ12")</f>
        <v>Ех МКВМ М16 КМ12</v>
      </c>
      <c r="B347" s="6" t="str">
        <f ca="1">IFERROR(__xludf.DUMMYFUNCTION("""COMPUTED_VALUE"""),"Ех МКВМ М16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М16х1,5, нержавеющая сталь,  IP 66/67/68")</f>
        <v>Ех МКВМ М16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М16х1,5, нержавеющая сталь,  IP 66/67/68</v>
      </c>
      <c r="C347" s="9">
        <f ca="1">IFERROR(__xludf.DUMMYFUNCTION("""COMPUTED_VALUE"""),3773)</f>
        <v>3773</v>
      </c>
      <c r="D347" s="6"/>
      <c r="E347" s="8"/>
    </row>
    <row r="348" spans="1:5" ht="63.75">
      <c r="A348" s="5" t="str">
        <f ca="1">IFERROR(__xludf.DUMMYFUNCTION("""COMPUTED_VALUE"""),"Ех МКВМ М20 К")</f>
        <v>Ех МКВМ М20 К</v>
      </c>
      <c r="B348" s="6" t="str">
        <f ca="1">IFERROR(__xludf.DUMMYFUNCTION("""COMPUTED_VALUE"""),"Ех МКВМ М20 К ( -70+200) Взрывозащищенный кабельный ввод для всех типов небронированного кабеля круглого сечения обжатие кабеля d 4-14мм, М20х1,5, нержавеющая сталь")</f>
        <v>Ех МКВМ М20 К ( -70+200) Взрывозащищенный кабельный ввод для всех типов небронированного кабеля круглого сечения обжатие кабеля d 4-14мм, М20х1,5, нержавеющая сталь</v>
      </c>
      <c r="C348" s="9">
        <f ca="1">IFERROR(__xludf.DUMMYFUNCTION("""COMPUTED_VALUE"""),3932)</f>
        <v>3932</v>
      </c>
      <c r="D348" s="6"/>
      <c r="E348" s="8"/>
    </row>
    <row r="349" spans="1:5" ht="63.75">
      <c r="A349" s="5" t="str">
        <f ca="1">IFERROR(__xludf.DUMMYFUNCTION("""COMPUTED_VALUE"""),"Ех МКВМ М20 В")</f>
        <v>Ех МКВМ М20 В</v>
      </c>
      <c r="B349" s="6" t="str">
        <f ca="1">IFERROR(__xludf.DUMMYFUNCTION("""COMPUTED_VALUE"""),"Ех МКВМ М20 В ( -70+200) Взрывозащищенный кабельный ввод для всех типов бронированного кабеля круглого сечения обжатие кабеля d 4-14мм, М20х1,5, нержавеющая сталь")</f>
        <v>Ех МКВМ М20 В ( -70+200) Взрывозащищенный кабельный ввод для всех типов бронированного кабеля круглого сечения обжатие кабеля d 4-14мм, М20х1,5, нержавеющая сталь</v>
      </c>
      <c r="C349" s="9">
        <f ca="1">IFERROR(__xludf.DUMMYFUNCTION("""COMPUTED_VALUE"""),3932)</f>
        <v>3932</v>
      </c>
      <c r="D349" s="6"/>
      <c r="E349" s="8"/>
    </row>
    <row r="350" spans="1:5" ht="89.25">
      <c r="A350" s="5" t="str">
        <f ca="1">IFERROR(__xludf.DUMMYFUNCTION("""COMPUTED_VALUE"""),"Ех МКВМ М20 Т3/4")</f>
        <v>Ех МКВМ М20 Т3/4</v>
      </c>
      <c r="B350" s="6" t="str">
        <f ca="1">IFERROR(__xludf.DUMMYFUNCTION("""COMPUTED_VALUE"""),"Ех МКВМ М20 Т3/4(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 М20х1,5, нержавеющая сталь")</f>
        <v>Ех МКВМ М20 Т3/4(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 М20х1,5, нержавеющая сталь</v>
      </c>
      <c r="C350" s="9">
        <f ca="1">IFERROR(__xludf.DUMMYFUNCTION("""COMPUTED_VALUE"""),3932)</f>
        <v>3932</v>
      </c>
      <c r="D350" s="6"/>
      <c r="E350" s="8"/>
    </row>
    <row r="351" spans="1:5" ht="89.25">
      <c r="A351" s="5" t="str">
        <f ca="1">IFERROR(__xludf.DUMMYFUNCTION("""COMPUTED_VALUE"""),"Ех МКВМ М20 Т1/2")</f>
        <v>Ех МКВМ М20 Т1/2</v>
      </c>
      <c r="B351" s="6" t="str">
        <f ca="1">IFERROR(__xludf.DUMMYFUNCTION("""COMPUTED_VALUE"""),"Ех МКВМ М20 Т1/2 (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М20х1,5, нержавеющая сталь")</f>
        <v>Ех МКВМ М20 Т1/2 ( -70+200) Взрывозащищенный кабельный ввод для всех типов небронированного кабеля круглого сечения, проложенного в трубе, обжатие кабеля d 4-14 мм, диаметр трубной резьбы G3/4, М20х1,5, нержавеющая сталь</v>
      </c>
      <c r="C351" s="9">
        <f ca="1">IFERROR(__xludf.DUMMYFUNCTION("""COMPUTED_VALUE"""),3932)</f>
        <v>3932</v>
      </c>
      <c r="D351" s="6"/>
      <c r="E351" s="8"/>
    </row>
    <row r="352" spans="1:5" ht="89.25">
      <c r="A352" s="5" t="str">
        <f ca="1">IFERROR(__xludf.DUMMYFUNCTION("""COMPUTED_VALUE"""),"Ех МКВМ М20 КМ8")</f>
        <v>Ех МКВМ М20 КМ8</v>
      </c>
      <c r="B352" s="6" t="str">
        <f ca="1">IFERROR(__xludf.DUMMYFUNCTION("""COMPUTED_VALUE"""),"Ех МКВМ М20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М20х1,5, нержавеющая сталь")</f>
        <v>Ех МКВМ М20 КМ8 ( -70+200) Взрывозащищенный кабельный ввод для всех типов небронированного кабеля круглого сечения, проложенного в металлорукаве типа РЗЦ8, обжатие кабеля d 4-7 мм, М20х1,5, нержавеющая сталь</v>
      </c>
      <c r="C352" s="9">
        <f ca="1">IFERROR(__xludf.DUMMYFUNCTION("""COMPUTED_VALUE"""),3932)</f>
        <v>3932</v>
      </c>
      <c r="D352" s="6"/>
      <c r="E352" s="8"/>
    </row>
    <row r="353" spans="1:5" ht="89.25">
      <c r="A353" s="5" t="str">
        <f ca="1">IFERROR(__xludf.DUMMYFUNCTION("""COMPUTED_VALUE"""),"Ех МКВМ М20 КМ10")</f>
        <v>Ех МКВМ М20 КМ10</v>
      </c>
      <c r="B353" s="6" t="str">
        <f ca="1">IFERROR(__xludf.DUMMYFUNCTION("""COMPUTED_VALUE"""),"Ех МКВМ М20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М20х1,5, нержавеющая сталь")</f>
        <v>Ех МКВМ М20 КМ10 ( -70+200) Взрывозащищенный кабельный ввод для всех типов небронированного кабеля круглого сечения, проложенного в металлорукаве типа РЗЦ10, обжатие кабеля d 4-9 мм, М20х1,5, нержавеющая сталь</v>
      </c>
      <c r="C353" s="9">
        <f ca="1">IFERROR(__xludf.DUMMYFUNCTION("""COMPUTED_VALUE"""),3932)</f>
        <v>3932</v>
      </c>
      <c r="D353" s="6"/>
      <c r="E353" s="8"/>
    </row>
    <row r="354" spans="1:5" ht="89.25">
      <c r="A354" s="5" t="str">
        <f ca="1">IFERROR(__xludf.DUMMYFUNCTION("""COMPUTED_VALUE"""),"Ех МКВМ М20 КМ12")</f>
        <v>Ех МКВМ М20 КМ12</v>
      </c>
      <c r="B354" s="6" t="str">
        <f ca="1">IFERROR(__xludf.DUMMYFUNCTION("""COMPUTED_VALUE"""),"Ех МКВМ М20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М20х1,5, нержавеющая сталь")</f>
        <v>Ех МКВМ М20 КМ12 ( -70+200) Взрывозащищенный кабельный ввод для всех типов небронированного кабеля круглого сечения, проложенного в металлорукаве типа РЗЦ12, обжатие кабеля d 4-11 мм, М20х1,5, нержавеющая сталь</v>
      </c>
      <c r="C354" s="9">
        <f ca="1">IFERROR(__xludf.DUMMYFUNCTION("""COMPUTED_VALUE"""),3932)</f>
        <v>3932</v>
      </c>
      <c r="D354" s="6"/>
      <c r="E354" s="8"/>
    </row>
    <row r="355" spans="1:5" ht="89.25">
      <c r="A355" s="5" t="str">
        <f ca="1">IFERROR(__xludf.DUMMYFUNCTION("""COMPUTED_VALUE"""),"Ех МКВМ М20 КМ15")</f>
        <v>Ех МКВМ М20 КМ15</v>
      </c>
      <c r="B355" s="6" t="str">
        <f ca="1">IFERROR(__xludf.DUMMYFUNCTION("""COMPUTED_VALUE"""),"Ех МКВМ М20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4-14 мм, М20х1,5, нержавеющая сталь")</f>
        <v>Ех МКВМ М20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4-14 мм, М20х1,5, нержавеющая сталь</v>
      </c>
      <c r="C355" s="9">
        <f ca="1">IFERROR(__xludf.DUMMYFUNCTION("""COMPUTED_VALUE"""),3932)</f>
        <v>3932</v>
      </c>
      <c r="D355" s="6"/>
      <c r="E355" s="8"/>
    </row>
    <row r="356" spans="1:5" ht="89.25">
      <c r="A356" s="5" t="str">
        <f ca="1">IFERROR(__xludf.DUMMYFUNCTION("""COMPUTED_VALUE"""),"Ех МКВМ М20 КМ16")</f>
        <v>Ех МКВМ М20 КМ16</v>
      </c>
      <c r="B356" s="6" t="str">
        <f ca="1">IFERROR(__xludf.DUMMYFUNCTION("""COMPUTED_VALUE"""),"Ех МКВМ М20 КМ16 ( -70+200) Взрывозащищенный кабельный ввод для всех типов небронированного кабеля круглого сечения, проложенного в металлорукаве типа РЗЦ16, обжатие кабеля d 6-15 мм, М20х1,5, нержавеющая сталь")</f>
        <v>Ех МКВМ М20 КМ16 ( -70+200) Взрывозащищенный кабельный ввод для всех типов небронированного кабеля круглого сечения, проложенного в металлорукаве типа РЗЦ16, обжатие кабеля d 6-15 мм, М20х1,5, нержавеющая сталь</v>
      </c>
      <c r="C356" s="9">
        <f ca="1">IFERROR(__xludf.DUMMYFUNCTION("""COMPUTED_VALUE"""),3932)</f>
        <v>3932</v>
      </c>
      <c r="D356" s="6"/>
      <c r="E356" s="8"/>
    </row>
    <row r="357" spans="1:5" ht="89.25">
      <c r="A357" s="5" t="str">
        <f ca="1">IFERROR(__xludf.DUMMYFUNCTION("""COMPUTED_VALUE"""),"Ех МКВМ М20 КМ18")</f>
        <v>Ех МКВМ М20 КМ18</v>
      </c>
      <c r="B357" s="6" t="str">
        <f ca="1">IFERROR(__xludf.DUMMYFUNCTION("""COMPUTED_VALUE"""),"Ех МКВМ М20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4-14 мм, М20х1,5, нержавеющая сталь")</f>
        <v>Ех МКВМ М20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4-14 мм, М20х1,5, нержавеющая сталь</v>
      </c>
      <c r="C357" s="9">
        <f ca="1">IFERROR(__xludf.DUMMYFUNCTION("""COMPUTED_VALUE"""),3932)</f>
        <v>3932</v>
      </c>
      <c r="D357" s="6"/>
      <c r="E357" s="8"/>
    </row>
    <row r="358" spans="1:5" ht="63.75">
      <c r="A358" s="5" t="str">
        <f ca="1">IFERROR(__xludf.DUMMYFUNCTION("""COMPUTED_VALUE"""),"Ех МКВМ М25 К")</f>
        <v>Ех МКВМ М25 К</v>
      </c>
      <c r="B358" s="6" t="str">
        <f ca="1">IFERROR(__xludf.DUMMYFUNCTION("""COMPUTED_VALUE"""),"Ех МКВМ М25 К ( -70+200) Взрывозащищенный кабельный ввод для всех типов небронированного кабеля круглого сечения обжатие кабеля d 6-18мм, М25х1,5, нержавеющая сталь")</f>
        <v>Ех МКВМ М25 К ( -70+200) Взрывозащищенный кабельный ввод для всех типов небронированного кабеля круглого сечения обжатие кабеля d 6-18мм, М25х1,5, нержавеющая сталь</v>
      </c>
      <c r="C358" s="9">
        <f ca="1">IFERROR(__xludf.DUMMYFUNCTION("""COMPUTED_VALUE"""),7078)</f>
        <v>7078</v>
      </c>
      <c r="D358" s="6"/>
      <c r="E358" s="8"/>
    </row>
    <row r="359" spans="1:5" ht="63.75">
      <c r="A359" s="5" t="str">
        <f ca="1">IFERROR(__xludf.DUMMYFUNCTION("""COMPUTED_VALUE"""),"Ех МКВМ М25 В")</f>
        <v>Ех МКВМ М25 В</v>
      </c>
      <c r="B359" s="6" t="str">
        <f ca="1">IFERROR(__xludf.DUMMYFUNCTION("""COMPUTED_VALUE"""),"Ех МКВМ М25 В ( -70+200) Взрывозащищенный кабельный ввод для всех типов бронированного кабеля круглого сечения обжатие кабеля d 6-18мм, М25х1,5, нержавеющая сталь")</f>
        <v>Ех МКВМ М25 В ( -70+200) Взрывозащищенный кабельный ввод для всех типов бронированного кабеля круглого сечения обжатие кабеля d 6-18мм, М25х1,5, нержавеющая сталь</v>
      </c>
      <c r="C359" s="9">
        <f ca="1">IFERROR(__xludf.DUMMYFUNCTION("""COMPUTED_VALUE"""),7078)</f>
        <v>7078</v>
      </c>
      <c r="D359" s="6"/>
      <c r="E359" s="8"/>
    </row>
    <row r="360" spans="1:5" ht="89.25">
      <c r="A360" s="5" t="str">
        <f ca="1">IFERROR(__xludf.DUMMYFUNCTION("""COMPUTED_VALUE"""),"Ех МКВМ М25 Т3/4")</f>
        <v>Ех МКВМ М25 Т3/4</v>
      </c>
      <c r="B360" s="6" t="str">
        <f ca="1">IFERROR(__xludf.DUMMYFUNCTION("""COMPUTED_VALUE"""),"Ех МКВМ М25 Т3/4( -70+200) Взрывозащищенный кабельный ввод для всех типов небронированного кабеля круглого сечения, проложенного в трубе, обжатие кабеля d 6-18 мм, диаметр трубной резьбы G3/4 , М25х1,5, нержавеющая сталь")</f>
        <v>Ех МКВМ М25 Т3/4( -70+200) Взрывозащищенный кабельный ввод для всех типов небронированного кабеля круглого сечения, проложенного в трубе, обжатие кабеля d 6-18 мм, диаметр трубной резьбы G3/4 , М25х1,5, нержавеющая сталь</v>
      </c>
      <c r="C360" s="9">
        <f ca="1">IFERROR(__xludf.DUMMYFUNCTION("""COMPUTED_VALUE"""),7078)</f>
        <v>7078</v>
      </c>
      <c r="D360" s="6"/>
      <c r="E360" s="8"/>
    </row>
    <row r="361" spans="1:5" ht="63.75">
      <c r="A361" s="5" t="str">
        <f ca="1">IFERROR(__xludf.DUMMYFUNCTION("""COMPUTED_VALUE"""),"Ех МКВМ М25 КМ10")</f>
        <v>Ех МКВМ М25 КМ10</v>
      </c>
      <c r="B361" s="6" t="str">
        <f ca="1">IFERROR(__xludf.DUMMYFUNCTION("""COMPUTED_VALUE"""),"Ех МКВМ М25 КМ10 ( -70+200) Взрывозащищенный кабельный ввод для всех типов небронированного кабеля круглого сечения, проложенного в металлорукаве типа РЗЦ10")</f>
        <v>Ех МКВМ М25 КМ10 ( -70+200) Взрывозащищенный кабельный ввод для всех типов небронированного кабеля круглого сечения, проложенного в металлорукаве типа РЗЦ10</v>
      </c>
      <c r="C361" s="9">
        <f ca="1">IFERROR(__xludf.DUMMYFUNCTION("""COMPUTED_VALUE"""),7078)</f>
        <v>7078</v>
      </c>
      <c r="D361" s="6"/>
      <c r="E361" s="8"/>
    </row>
    <row r="362" spans="1:5" ht="63.75">
      <c r="A362" s="5" t="str">
        <f ca="1">IFERROR(__xludf.DUMMYFUNCTION("""COMPUTED_VALUE"""),"Ех МКВМ М25 КМ12")</f>
        <v>Ех МКВМ М25 КМ12</v>
      </c>
      <c r="B362" s="6" t="str">
        <f ca="1">IFERROR(__xludf.DUMMYFUNCTION("""COMPUTED_VALUE"""),"Ех МКВМ М25 КМ12 ( -70+200) Взрывозащищенный кабельный ввод для всех типов небронированного кабеля круглого сечения, проложенного в металлорукаве типа РЗЦ12")</f>
        <v>Ех МКВМ М25 КМ12 ( -70+200) Взрывозащищенный кабельный ввод для всех типов небронированного кабеля круглого сечения, проложенного в металлорукаве типа РЗЦ12</v>
      </c>
      <c r="C362" s="9">
        <f ca="1">IFERROR(__xludf.DUMMYFUNCTION("""COMPUTED_VALUE"""),7078)</f>
        <v>7078</v>
      </c>
      <c r="D362" s="6"/>
      <c r="E362" s="8"/>
    </row>
    <row r="363" spans="1:5" ht="89.25">
      <c r="A363" s="5" t="str">
        <f ca="1">IFERROR(__xludf.DUMMYFUNCTION("""COMPUTED_VALUE"""),"Ех МКВМ М25 КМ15")</f>
        <v>Ех МКВМ М25 КМ15</v>
      </c>
      <c r="B363" s="6" t="str">
        <f ca="1">IFERROR(__xludf.DUMMYFUNCTION("""COMPUTED_VALUE"""),"Ех МКВМ М25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6-14 мм, М25х1,5, нержавеющая сталь")</f>
        <v>Ех МКВМ М25 КМ15 ( -70+200) Взрывозащищенный кабельный ввод для всех типов небронированного кабеля круглого сечения, проложенного в металлорукаве типа РЗЦ15, обжатие кабеля d 6-14 мм, М25х1,5, нержавеющая сталь</v>
      </c>
      <c r="C363" s="9">
        <f ca="1">IFERROR(__xludf.DUMMYFUNCTION("""COMPUTED_VALUE"""),7078)</f>
        <v>7078</v>
      </c>
      <c r="D363" s="6"/>
      <c r="E363" s="8"/>
    </row>
    <row r="364" spans="1:5" ht="89.25">
      <c r="A364" s="5" t="str">
        <f ca="1">IFERROR(__xludf.DUMMYFUNCTION("""COMPUTED_VALUE"""),"Ех МКВМ М25 КМ18")</f>
        <v>Ех МКВМ М25 КМ18</v>
      </c>
      <c r="B364" s="6" t="str">
        <f ca="1">IFERROR(__xludf.DUMMYFUNCTION("""COMPUTED_VALUE"""),"Ех МКВМ М25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6-16 мм, М25х1,5, нержавеющая сталь")</f>
        <v>Ех МКВМ М25 КМ18 ( -70+200) Взрывозащищенный кабельный ввод для всех типов небронированного кабеля круглого сечения, проложенного в металлорукаве типа РЗЦ18, обжатие кабеля d 6-16 мм, М25х1,5, нержавеющая сталь</v>
      </c>
      <c r="C364" s="9">
        <f ca="1">IFERROR(__xludf.DUMMYFUNCTION("""COMPUTED_VALUE"""),7078)</f>
        <v>7078</v>
      </c>
      <c r="D364" s="6"/>
      <c r="E364" s="8"/>
    </row>
    <row r="365" spans="1:5" ht="89.25">
      <c r="A365" s="5" t="str">
        <f ca="1">IFERROR(__xludf.DUMMYFUNCTION("""COMPUTED_VALUE"""),"Ех МКВМ М25 КМ20")</f>
        <v>Ех МКВМ М25 КМ20</v>
      </c>
      <c r="B365" s="6" t="str">
        <f ca="1">IFERROR(__xludf.DUMMYFUNCTION("""COMPUTED_VALUE"""),"Ех МКВМ М25 КМ20 ( -70+200) Взрывозащищенный кабельный ввод для всех типов небронированного кабеля круглого сечения, проложенного в металлорукаве типа РЗЦ20, обжатие кабеля d 6-18 мм, М25х1,5, нержавеющая сталь")</f>
        <v>Ех МКВМ М25 КМ20 ( -70+200) Взрывозащищенный кабельный ввод для всех типов небронированного кабеля круглого сечения, проложенного в металлорукаве типа РЗЦ20, обжатие кабеля d 6-18 мм, М25х1,5, нержавеющая сталь</v>
      </c>
      <c r="C365" s="9">
        <f ca="1">IFERROR(__xludf.DUMMYFUNCTION("""COMPUTED_VALUE"""),7078)</f>
        <v>7078</v>
      </c>
      <c r="D365" s="6"/>
      <c r="E365" s="8"/>
    </row>
    <row r="366" spans="1:5" ht="89.25">
      <c r="A366" s="5" t="str">
        <f ca="1">IFERROR(__xludf.DUMMYFUNCTION("""COMPUTED_VALUE"""),"Ех МКВМ М32 и РМ32 (К, В, В2, T1, КМ22, КМ25) 
1Ex d IIС Gb/PB Ex d I Mb или 
Ex tb IIIС Db или 
0Ex ia IIC Ga или 
1Ex e IIС Gb")</f>
        <v>Ех МКВМ М32 и РМ32 (К, В, В2, T1, КМ22, КМ25) 
1Ex d IIС Gb/PB Ex d I Mb или 
Ex tb IIIС Db или 
0Ex ia IIC Ga или 
1Ex e IIС Gb</v>
      </c>
      <c r="B366"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- 13-26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- 13-26 мм. Материал Нержавеющая сталь. Тип штуцера - выбрать</v>
      </c>
      <c r="C366" s="9">
        <f ca="1">IFERROR(__xludf.DUMMYFUNCTION("""COMPUTED_VALUE"""),12441)</f>
        <v>12441</v>
      </c>
      <c r="D366" s="6"/>
      <c r="E366" s="8"/>
    </row>
    <row r="367" spans="1:5" ht="89.25">
      <c r="A367" s="5" t="str">
        <f ca="1">IFERROR(__xludf.DUMMYFUNCTION("""COMPUTED_VALUE"""),"Ех МКВМ М40 и РМ40 (К, В, В2, Т1 1/4, КМ32) 
1Ex d IIС Gb/PB Ex d I Mb или 
Ex tb IIIС Db или 
0Ex ia IIC Ga или 
1Ex e IIС Gb")</f>
        <v>Ех МКВМ М40 и РМ40 (К, В, В2, Т1 1/4, КМ32) 
1Ex d IIС Gb/PB Ex d I Mb или 
Ex tb IIIС Db или 
0Ex ia IIC Ga или 
1Ex e IIС Gb</v>
      </c>
      <c r="B367"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- 21-30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- 21-30 мм. Материал Нержавеющая сталь. Тип штуцера - выбрать</v>
      </c>
      <c r="C367" s="9">
        <f ca="1">IFERROR(__xludf.DUMMYFUNCTION("""COMPUTED_VALUE"""),15658)</f>
        <v>15658</v>
      </c>
      <c r="D367" s="6"/>
      <c r="E367" s="8"/>
    </row>
    <row r="368" spans="1:5" ht="89.25">
      <c r="A368" s="5" t="str">
        <f ca="1">IFERROR(__xludf.DUMMYFUNCTION("""COMPUTED_VALUE"""),"Ех МКВМ М50 и РМ50 (К, В, В2, Т1 1/2, КМ38) 
1Ex d IIС Gb/PB Ex d I Mb или 
Ex tb IIIС Db или 
0Ex ia IIC Ga или 
1Ex e IIС Gb")</f>
        <v>Ех МКВМ М50 и РМ50 (К, В, В2, Т1 1/2, КМ38) 
1Ex d IIС Gb/PB Ex d I Mb или 
Ex tb IIIС Db или 
0Ex ia IIC Ga или 
1Ex e IIС Gb</v>
      </c>
      <c r="B368"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- 24-42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- 24-42 мм.  Материал Нержавеющая сталь. Тип штуцера - выбрать</v>
      </c>
      <c r="C368" s="9">
        <f ca="1">IFERROR(__xludf.DUMMYFUNCTION("""COMPUTED_VALUE"""),20735)</f>
        <v>20735</v>
      </c>
      <c r="D368" s="6"/>
      <c r="E368" s="8"/>
    </row>
    <row r="369" spans="1:5" ht="89.25">
      <c r="A369" s="5" t="str">
        <f ca="1">IFERROR(__xludf.DUMMYFUNCTION("""COMPUTED_VALUE"""),"Ех МКВМ М63 (К, В, Т2, КМ50) 
1Ex d IIС Gb/PB Ex d I Mb или 
Ex tb IIIС Db или 
0Ex ia IIC Ga или 
1Ex e IIС Gb")</f>
        <v>Ех МКВМ М63 (К, В, Т2, КМ50) 
1Ex d IIС Gb/PB Ex d I Mb или 
Ex tb IIIС Db или 
0Ex ia IIC Ga или 
1Ex e IIС Gb</v>
      </c>
      <c r="B369"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- 36-45 мм. Габариты, мм - 31х82.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- 36-45 мм. Габариты, мм - 31х82. Материал Нержавеющая сталь. Тип штуцера - выбрать</v>
      </c>
      <c r="C369" s="9">
        <f ca="1">IFERROR(__xludf.DUMMYFUNCTION("""COMPUTED_VALUE"""),29029)</f>
        <v>29029</v>
      </c>
      <c r="D369" s="6"/>
      <c r="E369" s="8"/>
    </row>
    <row r="370" spans="1:5" ht="89.25">
      <c r="A370" s="5" t="str">
        <f ca="1">IFERROR(__xludf.DUMMYFUNCTION("""COMPUTED_VALUE"""),"Ех МКВМ М75 (К, В) 
1Ex d IIС Gb/PB Ex d I Mb или 
Ex tb IIIС Db или 
0Ex ia IIC Ga или 
1Ex e IIС Gb")</f>
        <v>Ех МКВМ М75 (К, В) 
1Ex d IIС Gb/PB Ex d I Mb или 
Ex tb IIIС Db или 
0Ex ia IIC Ga или 
1Ex e IIС Gb</v>
      </c>
      <c r="B370" s="6" t="str">
        <f ca="1">IFERROR(__xludf.DUMMYFUNCTION("""COMPUTED_VALUE"""),"Тип присоединительной резьбы: цилиндрическая трубная (G) и метрическая (М). Степень защиты оболочки вводов – IP66/ IP68. Проходной Ø кабеля - 47-63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Ø кабеля - 47-63 мм. Материал Нержавеющая сталь. Тип штуцера - выбрать</v>
      </c>
      <c r="C370" s="9">
        <f ca="1">IFERROR(__xludf.DUMMYFUNCTION("""COMPUTED_VALUE"""),55055)</f>
        <v>55055</v>
      </c>
      <c r="D370" s="6"/>
      <c r="E370" s="8"/>
    </row>
    <row r="371" spans="1:5" ht="89.25">
      <c r="A371" s="5" t="str">
        <f ca="1">IFERROR(__xludf.DUMMYFUNCTION("""COMPUTED_VALUE"""),"Ех МКВМ М90 (К, В) 
1Ex d IIС Gb/PB Ex d I Mb или 
Ex tb IIIС Db или 
0Ex ia IIC Ga или 
1Ex e IIС Gb")</f>
        <v>Ех МКВМ М90 (К, В) 
1Ex d IIС Gb/PB Ex d I Mb или 
Ex tb IIIС Db или 
0Ex ia IIC Ga или 
1Ex e IIС Gb</v>
      </c>
      <c r="B371" s="6" t="str">
        <f ca="1">IFERROR(__xludf.DUMMYFUNCTION("""COMPUTED_VALUE"""),"Тип присоединительной резьбы: цилиндрическая трубная (G) и метрическая (М). Степень защиты оболочки вводов – IP66/ IP68. Проходной (внешний) Ø кабеля 63-79 мм. Материал Нержавеющая сталь. Тип штуцера - выбрать")</f>
        <v>Тип присоединительной резьбы: цилиндрическая трубная (G) и метрическая (М). Степень защиты оболочки вводов – IP66/ IP68. Проходной (внешний) Ø кабеля 63-79 мм. Материал Нержавеющая сталь. Тип штуцера - выбрать</v>
      </c>
      <c r="C371" s="9">
        <f ca="1">IFERROR(__xludf.DUMMYFUNCTION("""COMPUTED_VALUE"""),110110)</f>
        <v>110110</v>
      </c>
      <c r="D371" s="6"/>
      <c r="E371" s="8"/>
    </row>
    <row r="372" spans="1:5" ht="165.75">
      <c r="A372" s="5" t="str">
        <f ca="1">IFERROR(__xludf.DUMMYFUNCTION("""COMPUTED_VALUE"""),"МКВ РМ20 (К, В, В2, Т1/2, T3/4, КМ8, КМ10, КМ12, КМ15, КМ18, КМ20) 
1Ex d IIС Gb/PB Ex d I Mb или 
Ex tb IIIС Db или 
0Ex ia IIC Ga или 
1Ex e IIС Gb")</f>
        <v>МКВ РМ20 (К, В, В2, Т1/2, T3/4, КМ8, КМ10, КМ12, КМ15, КМ18, КМ20) 
1Ex d IIС Gb/PB Ex d I Mb или 
Ex tb IIIС Db или 
0Ex ia IIC Ga или 
1Ex e IIС Gb</v>
      </c>
      <c r="B372" s="6" t="str">
        <f ca="1">IFERROR(__xludf.DUMMYFUNCTION("""COMPUTED_VALUE"""),"Вводы могут использоваться с бронированным и небронированным кабелем круглого сечения, а также кабелями проложенными в трубе или металлорукаве. Тип присоединительной резьбы: цилиндрическая трубная (G) и метрическая (М). Степень защиты оболочки вводов – IP"&amp;"66/ IP68. Резьба М20х1,5, 20мм. Размер под ключ S, мм - 27. Проходной Ø кабеля - 6-12 мм. Габариты, мм - 31х87. Материал Нержавеющая сталь. Тип штуцера - выбрать")</f>
        <v>Вводы могут использоваться с бронированным и небронированным кабелем круглого сечения, а также кабелями проложенными в трубе или металлорукаве. Тип присоединительной резьбы: цилиндрическая трубная (G) и метрическая (М). Степень защиты оболочки вводов – IP66/ IP68. Резьба М20х1,5, 20мм. Размер под ключ S, мм - 27. Проходной Ø кабеля - 6-12 мм. Габариты, мм - 31х87. Материал Нержавеющая сталь. Тип штуцера - выбрать</v>
      </c>
      <c r="C372" s="9">
        <f ca="1">IFERROR(__xludf.DUMMYFUNCTION("""COMPUTED_VALUE"""),4488)</f>
        <v>4488</v>
      </c>
      <c r="D372" s="6"/>
      <c r="E372" s="8"/>
    </row>
    <row r="373" spans="1:5" ht="76.5">
      <c r="A373" s="5" t="str">
        <f ca="1">IFERROR(__xludf.DUMMYFUNCTION("""COMPUTED_VALUE"""),"ВН16 
 1ExdIICGb/1ExeIIСGb/0ExiaIICGa/2ExnRIIGc/ExtaIIICDa, IP 66/67/68, Ni")</f>
        <v>ВН16 
 1ExdIICGb/1ExeIIСGb/0ExiaIICGa/2ExnRIIGc/ExtaIIICDa, IP 66/67/68, Ni</v>
      </c>
      <c r="B373" s="6" t="str">
        <f ca="1">IFERROR(__xludf.DUMMYFUNCTION("""COMPUTED_VALUE"""),"ВН16 (-60+130) - Взрывозащищенный кабельный ввод для всех типов небронированного кабеля круглого сечения обжатие кабеля d 3-8мм, М16х1,5,
IP 66/67/68, Никелированная латунь")</f>
        <v>ВН16 (-60+130) - Взрывозащищенный кабельный ввод для всех типов небронированного кабеля круглого сечения обжатие кабеля d 3-8мм, М16х1,5,
IP 66/67/68, Никелированная латунь</v>
      </c>
      <c r="C373" s="9">
        <f ca="1">IFERROR(__xludf.DUMMYFUNCTION("""COMPUTED_VALUE"""),669.13)</f>
        <v>669.13</v>
      </c>
      <c r="D373" s="6"/>
      <c r="E373" s="8"/>
    </row>
    <row r="374" spans="1:5" ht="178.5">
      <c r="A374" s="5" t="str">
        <f ca="1">IFERROR(__xludf.DUMMYFUNCTION("""COMPUTED_VALUE"""),"ВН16Мр12
 1ExdIICGb/1ExeIIСGb/0ExiaIICGa/2ExnRIIGc/E
 xtaIIICDa, IP 66/67/68, Ni")</f>
        <v>ВН16Мр12
 1ExdIICGb/1ExeIIСGb/0ExiaIICGa/2ExnRIIGc/E
 xtaIIICDa, IP 66/67/68, Ni</v>
      </c>
      <c r="B374" s="6" t="str">
        <f ca="1">IFERROR(__xludf.DUMMYFUNCTION("""COMPUTED_VALUE"""),"ВН16Мр12 (-60+130) - Взрывозащищенный
 кабельный ввод для всех типов
 небронированного кабеля круглого сечения,
 проложенного в металлорукаве, обжатие
 кабеля d 3-8мм, условный диаметр
 металлорукава 12мм, М16х1,5,
 1ExdIICGb/1ExeIIСGb/0ExiaIICGa/2ExnRIIG"&amp;"c/E
 xtaIIICDa, IP 66/67/68, Никелированная латунь")</f>
        <v>ВН16Мр12 (-60+130) - Взрывозащищенный
 кабельный ввод для всех типов
 небронированного кабеля круглого сечения,
 проложенного в металлорукаве, обжатие
 кабеля d 3-8мм, условный диаметр
 металлорукава 12мм, М16х1,5,
 1ExdIICGb/1ExeIIСGb/0ExiaIICGa/2ExnRIIGc/E
 xtaIIICDa, IP 66/67/68, Никелированная латунь</v>
      </c>
      <c r="C374" s="9">
        <f ca="1">IFERROR(__xludf.DUMMYFUNCTION("""COMPUTED_VALUE"""),705.43)</f>
        <v>705.43</v>
      </c>
      <c r="D374" s="6"/>
      <c r="E374" s="8"/>
    </row>
    <row r="375" spans="1:5" ht="76.5">
      <c r="A375" s="5" t="str">
        <f ca="1">IFERROR(__xludf.DUMMYFUNCTION("""COMPUTED_VALUE"""),"ВН20 
 1ExdIICGb/1ExeIIСGb/0ExiaIICGa/2ExnRIIGc/ExtaIIICDa, IP 66/67/68, Ni")</f>
        <v>ВН20 
 1ExdIICGb/1ExeIIСGb/0ExiaIICGa/2ExnRIIGc/ExtaIIICDa, IP 66/67/68, Ni</v>
      </c>
      <c r="B375" s="6" t="str">
        <f ca="1">IFERROR(__xludf.DUMMYFUNCTION("""COMPUTED_VALUE"""),"ВН20 (-60+130) - Взрывозащищенный кабельный ввод для всех типов небронированного кабеля круглого сечения обжатие кабеля d 6-12мм, М20х1,5, IP 66/67/68, Никелированная латунь")</f>
        <v>ВН20 (-60+130) - Взрывозащищенный кабельный ввод для всех типов небронированного кабеля круглого сечения обжатие кабеля d 6-12мм, М20х1,5, IP 66/67/68, Никелированная латунь</v>
      </c>
      <c r="C375" s="9">
        <f ca="1">IFERROR(__xludf.DUMMYFUNCTION("""COMPUTED_VALUE"""),723.58)</f>
        <v>723.58</v>
      </c>
      <c r="D375" s="6"/>
      <c r="E375" s="8"/>
    </row>
    <row r="376" spans="1:5" ht="102">
      <c r="A376" s="5" t="str">
        <f ca="1">IFERROR(__xludf.DUMMYFUNCTION("""COMPUTED_VALUE"""),"ВН20 D1/2  (под трубу G1/2)
 1ExdIICGb/1ExeIIСGb/0ExiaIICGa/2ExnRIIGc/ExtaIIICDa, IP 66/67/68, Ni")</f>
        <v>ВН20 D1/2  (под трубу G1/2)
 1ExdIICGb/1ExeIIСGb/0ExiaIICGa/2ExnRIIGc/ExtaIIICDa, IP 66/67/68, Ni</v>
      </c>
      <c r="B376" s="6" t="str">
        <f ca="1">IFERROR(__xludf.DUMMYFUNCTION("""COMPUTED_VALUE"""),"ВН20D1/2 (-60+130) - Взрывозащищенный кабельный ввод для всех типов небронированного кабеля круглого сечения, проложенного в трубе, обжатие
 кабеля d 6-12мм, диаметр трубной резьбы G1/2, М20х1,5, IP 66/67/68, Никелированная латунь")</f>
        <v>ВН20D1/2 (-60+130) - Взрывозащищенный кабельный ввод для всех типов небронированного кабеля круглого сечения, проложенного в трубе, обжатие
 кабеля d 6-12мм, диаметр трубной резьбы G1/2, М20х1,5, IP 66/67/68, Никелированная латунь</v>
      </c>
      <c r="C376" s="9">
        <f ca="1">IFERROR(__xludf.DUMMYFUNCTION("""COMPUTED_VALUE"""),994.62)</f>
        <v>994.62</v>
      </c>
      <c r="D376" s="6"/>
      <c r="E376" s="8"/>
    </row>
    <row r="377" spans="1:5" ht="102">
      <c r="A377" s="5" t="str">
        <f ca="1">IFERROR(__xludf.DUMMYFUNCTION("""COMPUTED_VALUE"""),"ВН20 Мр15 (под металлорукав Ø15)
 1ExdIICGb/1ExeIIСGb/0ExiaIICGa/2ExnRIIGc/ExtaIIICDa, IP 66/67/68, Ni")</f>
        <v>ВН20 Мр15 (под металлорукав Ø15)
 1ExdIICGb/1ExeIIСGb/0ExiaIICGa/2ExnRIIGc/ExtaIIICDa, IP 66/67/68, Ni</v>
      </c>
      <c r="B377" s="6" t="str">
        <f ca="1">IFERROR(__xludf.DUMMYFUNCTION("""COMPUTED_VALUE"""),"ВН20Мр15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15мм, М20х1,5, IP 66/67/68, Никелированная латунь")</f>
        <v>ВН20Мр15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15мм, М20х1,5, IP 66/67/68, Никелированная латунь</v>
      </c>
      <c r="C377" s="9">
        <f ca="1">IFERROR(__xludf.DUMMYFUNCTION("""COMPUTED_VALUE"""),786.5)</f>
        <v>786.5</v>
      </c>
      <c r="D377" s="6"/>
      <c r="E377" s="8"/>
    </row>
    <row r="378" spans="1:5" ht="102">
      <c r="A378" s="5" t="str">
        <f ca="1">IFERROR(__xludf.DUMMYFUNCTION("""COMPUTED_VALUE"""),"ВН20 Мр16 (под металлорукав Ø16) 1ExdIICGb/1ExeIIСGb/0ExiaIICGa/2ExnRIIGc/ExtaIIICDa, IP 66/67/68, Ni")</f>
        <v>ВН20 Мр16 (под металлорукав Ø16) 1ExdIICGb/1ExeIIСGb/0ExiaIICGa/2ExnRIIGc/ExtaIIICDa, IP 66/67/68, Ni</v>
      </c>
      <c r="B378" s="6" t="str">
        <f ca="1">IFERROR(__xludf.DUMMYFUNCTION("""COMPUTED_VALUE"""),"ВН20Мр16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16мм, М20х1,5, IP 66/67/68, Никелированная латунь")</f>
        <v>ВН20Мр16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16мм, М20х1,5, IP 66/67/68, Никелированная латунь</v>
      </c>
      <c r="C378" s="9">
        <f ca="1">IFERROR(__xludf.DUMMYFUNCTION("""COMPUTED_VALUE"""),796)</f>
        <v>796</v>
      </c>
      <c r="D378" s="6"/>
      <c r="E378" s="8"/>
    </row>
    <row r="379" spans="1:5" ht="102">
      <c r="A379" s="5" t="str">
        <f ca="1">IFERROR(__xludf.DUMMYFUNCTION("""COMPUTED_VALUE"""),"ВН20 Мр20 (под металлорукав Ø20)
 1ExdIICGb/1ExeIIСGb/0ExiaIICGa/2ExnRIIGc/ExtaIIICDa, IP 66/67/68, Ni")</f>
        <v>ВН20 Мр20 (под металлорукав Ø20)
 1ExdIICGb/1ExeIIСGb/0ExiaIICGa/2ExnRIIGc/ExtaIIICDa, IP 66/67/68, Ni</v>
      </c>
      <c r="B379" s="6" t="str">
        <f ca="1">IFERROR(__xludf.DUMMYFUNCTION("""COMPUTED_VALUE"""),"ВН20Мр20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20мм, М20х1,5, IP 66/67/68, Никелированная латунь")</f>
        <v>ВН20Мр20 (-60+130) - Взрывозащищенный кабельный ввод для всех типов небронированного кабеля круглого сечения, проложенного в металлорукаве, обжатие кабеля d 6-12мм, условный диаметр металлорукава 20мм, М20х1,5, IP 66/67/68, Никелированная латунь</v>
      </c>
      <c r="C379" s="9">
        <f ca="1">IFERROR(__xludf.DUMMYFUNCTION("""COMPUTED_VALUE"""),849.42)</f>
        <v>849.42</v>
      </c>
      <c r="D379" s="6"/>
      <c r="E379" s="8"/>
    </row>
    <row r="380" spans="1:5" ht="89.25">
      <c r="A380" s="5" t="str">
        <f ca="1">IFERROR(__xludf.DUMMYFUNCTION("""COMPUTED_VALUE"""),"ВА20 (под бронерукав)
 1ExdIICGb/1ExeIIСGb/0ExiaIICGa/2ExnRIIGc/ExtaIIICDa, IP 66/67/68, Ni")</f>
        <v>ВА20 (под бронерукав)
 1ExdIICGb/1ExeIIСGb/0ExiaIICGa/2ExnRIIGc/ExtaIIICDa, IP 66/67/68, Ni</v>
      </c>
      <c r="B380" s="6" t="str">
        <f ca="1">IFERROR(__xludf.DUMMYFUNCTION("""COMPUTED_VALUE"""),"ВА20 (-60+130) - взрывозащищённые кабельные вводы под все типы бронированного кабеля круглого сечения, с обжатием кабеля по наружной оболочке d 9-17мм (по внутренней оболочке d 6-12), М20х1,5, IP 66/67/68, Никелированная латунь")</f>
        <v>ВА20 (-60+130) - взрывозащищённые кабельные вводы под все типы бронированного кабеля круглого сечения, с обжатием кабеля по наружной оболочке d 9-17мм (по внутренней оболочке d 6-12), М20х1,5, IP 66/67/68, Никелированная латунь</v>
      </c>
      <c r="C380" s="9">
        <f ca="1">IFERROR(__xludf.DUMMYFUNCTION("""COMPUTED_VALUE"""),1085.37)</f>
        <v>1085.3699999999999</v>
      </c>
      <c r="D380" s="6"/>
      <c r="E380" s="8"/>
    </row>
    <row r="381" spans="1:5" ht="76.5">
      <c r="A381" s="5" t="str">
        <f ca="1">IFERROR(__xludf.DUMMYFUNCTION("""COMPUTED_VALUE"""),"ВН25 
 1ExdIICGb/1ExeIIСGb/0ExiaIICGa/2ExnRIIGc/ExtaIIICDa, 66/67/68, Ni")</f>
        <v>ВН25 
 1ExdIICGb/1ExeIIСGb/0ExiaIICGa/2ExnRIIGc/ExtaIIICDa, 66/67/68, Ni</v>
      </c>
      <c r="B381" s="6" t="str">
        <f ca="1">IFERROR(__xludf.DUMMYFUNCTION("""COMPUTED_VALUE"""),"ВН25 (-60+130) - Взрывозащищенный кабельный ввод для всех типов небронированного кабеля круглого сечения обжатие кабеля d 12-18мм, М25х1,5, 66/67/68, Никелированная латунь")</f>
        <v>ВН25 (-60+130) - Взрывозащищенный кабельный ввод для всех типов небронированного кабеля круглого сечения обжатие кабеля d 12-18мм, М25х1,5, 66/67/68, Никелированная латунь</v>
      </c>
      <c r="C381" s="9">
        <f ca="1">IFERROR(__xludf.DUMMYFUNCTION("""COMPUTED_VALUE"""),1156.76)</f>
        <v>1156.76</v>
      </c>
      <c r="D381" s="6"/>
      <c r="E381" s="8"/>
    </row>
    <row r="382" spans="1:5" ht="102">
      <c r="A382" s="5" t="str">
        <f ca="1">IFERROR(__xludf.DUMMYFUNCTION("""COMPUTED_VALUE"""),"ВН25Мр20 (под металлорукав Ø20)
 1ExdIICGb/1ExeIIСGb/0ExiaIICGa/2ExnRIIGc/E
 xtaIIICDa, IP 66/67/68, Ni")</f>
        <v>ВН25Мр20 (под металлорукав Ø20)
 1ExdIICGb/1ExeIIСGb/0ExiaIICGa/2ExnRIIGc/E
 xtaIIICDa, IP 66/67/68, Ni</v>
      </c>
      <c r="B382" s="6" t="str">
        <f ca="1">IFERROR(__xludf.DUMMYFUNCTION("""COMPUTED_VALUE"""),"ВН25Мр20 (-60+130) - Взрывозащищенный кабельный ввод для всех типов небронированного кабеля круглого сечения, проложенного в металлорукаве, обжатие кабеля d 12-17мм, условный диаметр металлорукава 20мм, М25х1,5, IP 66/67/68, Никелированная латунь")</f>
        <v>ВН25Мр20 (-60+130) - Взрывозащищенный кабельный ввод для всех типов небронированного кабеля круглого сечения, проложенного в металлорукаве, обжатие кабеля d 12-17мм, условный диаметр металлорукава 20мм, М25х1,5, IP 66/67/68, Никелированная латунь</v>
      </c>
      <c r="C382" s="9">
        <f ca="1">IFERROR(__xludf.DUMMYFUNCTION("""COMPUTED_VALUE"""),1301.96)</f>
        <v>1301.96</v>
      </c>
      <c r="D382" s="6"/>
      <c r="E382" s="8"/>
    </row>
    <row r="383" spans="1:5" ht="89.25">
      <c r="A383" s="5" t="str">
        <f ca="1">IFERROR(__xludf.DUMMYFUNCTION("""COMPUTED_VALUE"""),"ВН25D3/4 (под трубу G3/4)
 1ExdIICGb/1ExeIIСGb/0ExiaIICGa/2ExnRIIGc/E
 xtaIIICDa, IP 66/67/68, Ni")</f>
        <v>ВН25D3/4 (под трубу G3/4)
 1ExdIICGb/1ExeIIСGb/0ExiaIICGa/2ExnRIIGc/E
 xtaIIICDa, IP 66/67/68, Ni</v>
      </c>
      <c r="B383" s="6" t="str">
        <f ca="1">IFERROR(__xludf.DUMMYFUNCTION("""COMPUTED_VALUE"""),"ВН25D3/4 (-60+130) - Взрывозащищенный кабельный ввод для всех типов небронированного кабеля круглого сечения, проложенного в трубе, обжатие кабеля d12-18мм, диаметр трубной резьбы G3/4, М25х1,5, IP 66/67/68, Никелированная латунь")</f>
        <v>ВН25D3/4 (-60+130) - Взрывозащищенный кабельный ввод для всех типов небронированного кабеля круглого сечения, проложенного в трубе, обжатие кабеля d12-18мм, диаметр трубной резьбы G3/4, М25х1,5, IP 66/67/68, Никелированная латунь</v>
      </c>
      <c r="C383" s="9">
        <f ca="1">IFERROR(__xludf.DUMMYFUNCTION("""COMPUTED_VALUE"""),1780)</f>
        <v>1780</v>
      </c>
      <c r="D383" s="6"/>
      <c r="E383" s="8"/>
    </row>
    <row r="384" spans="1:5" ht="89.25">
      <c r="A384" s="5" t="str">
        <f ca="1">IFERROR(__xludf.DUMMYFUNCTION("""COMPUTED_VALUE"""),"ВА25 
 1ExdIICGb/1ExeIIСGb/0ExiaIICGa/2ExnRIIGc/ExtaIIICDa, IP 66/67/68, Ni")</f>
        <v>ВА25 
 1ExdIICGb/1ExeIIСGb/0ExiaIICGa/2ExnRIIGc/ExtaIIICDa, IP 66/67/68, Ni</v>
      </c>
      <c r="B384" s="6" t="str">
        <f ca="1">IFERROR(__xludf.DUMMYFUNCTION("""COMPUTED_VALUE"""),"ВА25 (-60+130) - Взрывозащищённые кабельные вводы под все типы бронированного кабеля круглого сечения, с обжатием кабеля по наружной оболочке d15-25мм (по внутренней оболочке d 12-18), М25х1,5, IP 66/67/68, Никелированная латунь")</f>
        <v>ВА25 (-60+130) - Взрывозащищённые кабельные вводы под все типы бронированного кабеля круглого сечения, с обжатием кабеля по наружной оболочке d15-25мм (по внутренней оболочке d 12-18), М25х1,5, IP 66/67/68, Никелированная латунь</v>
      </c>
      <c r="C384" s="9">
        <f ca="1">IFERROR(__xludf.DUMMYFUNCTION("""COMPUTED_VALUE"""),1657.7)</f>
        <v>1657.7</v>
      </c>
      <c r="D384" s="6"/>
      <c r="E384" s="8"/>
    </row>
    <row r="385" spans="1:5" ht="12.75">
      <c r="A385" s="5" t="str">
        <f ca="1">IFERROR(__xludf.DUMMYFUNCTION("""COMPUTED_VALUE"""),"Сальник D9")</f>
        <v>Сальник D9</v>
      </c>
      <c r="B385" s="6"/>
      <c r="C385" s="9">
        <f ca="1">IFERROR(__xludf.DUMMYFUNCTION("""COMPUTED_VALUE"""),5.9)</f>
        <v>5.9</v>
      </c>
      <c r="D385" s="6"/>
      <c r="E385" s="8"/>
    </row>
    <row r="386" spans="1:5" ht="12.75">
      <c r="A386" s="5" t="str">
        <f ca="1">IFERROR(__xludf.DUMMYFUNCTION("""COMPUTED_VALUE"""),"Сальник D15")</f>
        <v>Сальник D15</v>
      </c>
      <c r="B386" s="6"/>
      <c r="C386" s="9">
        <f ca="1">IFERROR(__xludf.DUMMYFUNCTION("""COMPUTED_VALUE"""),11.6)</f>
        <v>11.6</v>
      </c>
      <c r="D386" s="6"/>
      <c r="E386" s="8"/>
    </row>
    <row r="387" spans="1:5" ht="76.5">
      <c r="A387" s="5" t="str">
        <f ca="1">IFERROR(__xludf.DUMMYFUNCTION("""COMPUTED_VALUE"""),"ДПМГ-2-40 0Ex ia IIC T6 Ga/РО Ex ia I Ma
 ПАШК.425119.159")</f>
        <v>ДПМГ-2-40 0Ex ia IIC T6 Ga/РО Ex ia I Ma
 ПАШК.425119.159</v>
      </c>
      <c r="B387"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40 мм и гарантированно разомкнуты на расстоянии 100 мм")</f>
        <v>Взрывозащищенный. Степень защиты оболочки – IP66/IP68.
Контакты гарантированно замыкаются при расстоянии между датчиком и магнитом 40 мм и гарантированно разомкнуты на расстоянии 100 мм</v>
      </c>
      <c r="C387" s="9">
        <f ca="1">IFERROR(__xludf.DUMMYFUNCTION("""COMPUTED_VALUE"""),7735)</f>
        <v>7735</v>
      </c>
      <c r="D387" s="6"/>
      <c r="E387" s="8"/>
    </row>
    <row r="388" spans="1:5" ht="76.5">
      <c r="A388" s="5" t="str">
        <f ca="1">IFERROR(__xludf.DUMMYFUNCTION("""COMPUTED_VALUE"""),"ДПМГ-2-100 0Ex ia IIC T6 Ga/РО Ex ia I Ma
 ПАШК.425119.159")</f>
        <v>ДПМГ-2-100 0Ex ia IIC T6 Ga/РО Ex ia I Ma
 ПАШК.425119.159</v>
      </c>
      <c r="B388"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100 мм и гарантированно разомкнуты на расстоянии 160 мм.")</f>
        <v>Взрывозащищенный. Степень защиты оболочки – IP66/IP68
Контакты гарантированно замыкаются при расстоянии между датчиком и магнитом 100 мм и гарантированно разомкнуты на расстоянии 160 мм.</v>
      </c>
      <c r="C388" s="9">
        <f ca="1">IFERROR(__xludf.DUMMYFUNCTION("""COMPUTED_VALUE"""),8857)</f>
        <v>8857</v>
      </c>
      <c r="D388" s="6"/>
      <c r="E388" s="8"/>
    </row>
    <row r="389" spans="1:5" ht="76.5">
      <c r="A389" s="5" t="str">
        <f ca="1">IFERROR(__xludf.DUMMYFUNCTION("""COMPUTED_VALUE"""),"ДПМГ-2-200 0Ex ia IIC T6 Ga/РО Ex ia I Ma
 ПАШК.425119.159")</f>
        <v>ДПМГ-2-200 0Ex ia IIC T6 Ga/РО Ex ia I Ma
 ПАШК.425119.159</v>
      </c>
      <c r="B389" s="6" t="str">
        <f ca="1">IFERROR(__xludf.DUMMYFUNCTION("""COMPUTED_VALUE"""),"Взрывозащищенный. Степень защиты оболочки – IP66/IP68
Контакты гарантированно замыкаются при расстоянии между датчиком и магнитом 200 мм и гарантированно разомкнуты на расстоянии 260 мм.")</f>
        <v>Взрывозащищенный. Степень защиты оболочки – IP66/IP68
Контакты гарантированно замыкаются при расстоянии между датчиком и магнитом 200 мм и гарантированно разомкнуты на расстоянии 260 мм.</v>
      </c>
      <c r="C389" s="9">
        <f ca="1">IFERROR(__xludf.DUMMYFUNCTION("""COMPUTED_VALUE"""),9977)</f>
        <v>9977</v>
      </c>
      <c r="D389" s="6"/>
      <c r="E389" s="8"/>
    </row>
    <row r="390" spans="1:5" ht="63.75">
      <c r="A390" s="5" t="str">
        <f ca="1">IFERROR(__xludf.DUMMYFUNCTION("""COMPUTED_VALUE"""),"ДПМГ-2-40 (Общепромышленное исполнение)
 ПАШК.425119.159")</f>
        <v>ДПМГ-2-40 (Общепромышленное исполнение)
 ПАШК.425119.159</v>
      </c>
      <c r="B390" s="6" t="str">
        <f ca="1">IFERROR(__xludf.DUMMYFUNCTION("""COMPUTED_VALUE"""),"IP66/IP68. Контакты гарантированно замыкаются при расстоянии между датчиком и магнитом 40 мм и гарантированно разомкнуты на расстоянии 100 мм")</f>
        <v>IP66/IP68. Контакты гарантированно замыкаются при расстоянии между датчиком и магнитом 40 мм и гарантированно разомкнуты на расстоянии 100 мм</v>
      </c>
      <c r="C390" s="9">
        <f ca="1">IFERROR(__xludf.DUMMYFUNCTION("""COMPUTED_VALUE"""),5980)</f>
        <v>5980</v>
      </c>
      <c r="D390" s="6"/>
      <c r="E390" s="8"/>
    </row>
    <row r="391" spans="1:5" ht="63.75">
      <c r="A391" s="5" t="str">
        <f ca="1">IFERROR(__xludf.DUMMYFUNCTION("""COMPUTED_VALUE"""),"ДПМГ-2-100 (Общепромышленное исполнение)
 ПАШК.425119.159")</f>
        <v>ДПМГ-2-100 (Общепромышленное исполнение)
 ПАШК.425119.159</v>
      </c>
      <c r="B391" s="6" t="str">
        <f ca="1">IFERROR(__xludf.DUMMYFUNCTION("""COMPUTED_VALUE"""),"IP66/IP68. Контакты гарантированно замыкаются при расстоянии между датчиком и магнитом 100 мм и гарантированно разомкнуты на расстоянии 160 мм.")</f>
        <v>IP66/IP68. Контакты гарантированно замыкаются при расстоянии между датчиком и магнитом 100 мм и гарантированно разомкнуты на расстоянии 160 мм.</v>
      </c>
      <c r="C391" s="9">
        <f ca="1">IFERROR(__xludf.DUMMYFUNCTION("""COMPUTED_VALUE"""),6913)</f>
        <v>6913</v>
      </c>
      <c r="D391" s="6"/>
      <c r="E391" s="8"/>
    </row>
    <row r="392" spans="1:5" ht="63.75">
      <c r="A392" s="5" t="str">
        <f ca="1">IFERROR(__xludf.DUMMYFUNCTION("""COMPUTED_VALUE"""),"ДПМГ-2-200 (Общепромышленное исполнение)
 ПАШК.425119.159")</f>
        <v>ДПМГ-2-200 (Общепромышленное исполнение)
 ПАШК.425119.159</v>
      </c>
      <c r="B392" s="6" t="str">
        <f ca="1">IFERROR(__xludf.DUMMYFUNCTION("""COMPUTED_VALUE"""),"IP66/IP68. Контакты гарантированно замыкаются при расстоянии между датчиком и магнитом 200 мм и гарантированно разомкнуты на расстоянии 260 мм.")</f>
        <v>IP66/IP68. Контакты гарантированно замыкаются при расстоянии между датчиком и магнитом 200 мм и гарантированно разомкнуты на расстоянии 260 мм.</v>
      </c>
      <c r="C392" s="9">
        <f ca="1">IFERROR(__xludf.DUMMYFUNCTION("""COMPUTED_VALUE"""),7755)</f>
        <v>7755</v>
      </c>
      <c r="D392" s="6"/>
      <c r="E392" s="8"/>
    </row>
    <row r="393" spans="1:5" ht="114.75">
      <c r="A393" s="5" t="str">
        <f ca="1">IFERROR(__xludf.DUMMYFUNCTION("""COMPUTED_VALUE"""),"ДПМГ-2-40  ПАШК.425119.159  со встроенными резисторами")</f>
        <v>ДПМГ-2-40  ПАШК.425119.159  со встроенными резисторами</v>
      </c>
      <c r="B393" s="6" t="str">
        <f ca="1">IFERROR(__xludf.DUMMYFUNCTION("""COMPUTED_VALUE"""),"Контакты датчика ДПМГ-2-40 гарантированно замыкаются при расстоянии между датчиком и магнитом 40 мм и гарантированно разомкнуты на расстоянии 100 мм.Датчики изготавливаются со встроенными резисторами R1 = 1 кОм*, R2 = 10 кОм* (* по требованию заказчика но"&amp;"миналы резисторов могут быть любыми) ")</f>
        <v xml:space="preserve">Контакты датчика ДПМГ-2-40 гарантированно замыкаются при расстоянии между датчиком и магнитом 40 мм и гарантированно разомкнуты на расстоянии 100 мм.Датчики изготавливаются со встроенными резисторами R1 = 1 кОм*, R2 = 10 кОм* (* по требованию заказчика номиналы резисторов могут быть любыми) </v>
      </c>
      <c r="C393" s="9">
        <f ca="1">IFERROR(__xludf.DUMMYFUNCTION("""COMPUTED_VALUE"""),6160)</f>
        <v>6160</v>
      </c>
      <c r="D393" s="6"/>
      <c r="E393" s="8"/>
    </row>
    <row r="394" spans="1:5" ht="114.75">
      <c r="A394" s="5" t="str">
        <f ca="1">IFERROR(__xludf.DUMMYFUNCTION("""COMPUTED_VALUE"""),"ДПМГ-2-100 ПАШК.425119.159 со встроенными резисторами")</f>
        <v>ДПМГ-2-100 ПАШК.425119.159 со встроенными резисторами</v>
      </c>
      <c r="B394" s="6" t="str">
        <f ca="1">IFERROR(__xludf.DUMMYFUNCTION("""COMPUTED_VALUE"""),"Контакты датчика ДПМГ-2-100 гарантированно замыкаются при расстоянии между датчиком и магнитом 100 мм и гарантированно разомкнуты на расстоянии 160 мм..Датчики изготавливаются со встроенными резисторами R1 = 1 кОм*, R2 = 10 кОм* (* по требованию заказчика"&amp;" номиналы резисторов могут быть любыми) ")</f>
        <v xml:space="preserve">Контакты датчика ДПМГ-2-100 гарантированно замыкаются при расстоянии между датчиком и магнитом 100 мм и гарантированно разомкнуты на расстоянии 160 мм..Датчики изготавливаются со встроенными резисторами R1 = 1 кОм*, R2 = 10 кОм* (* по требованию заказчика номиналы резисторов могут быть любыми) </v>
      </c>
      <c r="C394" s="9">
        <f ca="1">IFERROR(__xludf.DUMMYFUNCTION("""COMPUTED_VALUE"""),7100)</f>
        <v>7100</v>
      </c>
      <c r="D394" s="6"/>
      <c r="E394" s="8"/>
    </row>
    <row r="395" spans="1:5" ht="114.75">
      <c r="A395" s="5" t="str">
        <f ca="1">IFERROR(__xludf.DUMMYFUNCTION("""COMPUTED_VALUE"""),"ДПМГ-2-200 ПАШК.425119.159  со встроенными резисторами")</f>
        <v>ДПМГ-2-200 ПАШК.425119.159  со встроенными резисторами</v>
      </c>
      <c r="B395" s="6" t="str">
        <f ca="1">IFERROR(__xludf.DUMMYFUNCTION("""COMPUTED_VALUE"""),"Контакты датчика ДПМГ-2-200 гарантированно замыкаются при расстоянии между датчиком и магнитом 200 мм и гарантированно разомкнуты на расстоянии 260 мм.Датчики изготавливаются со встроенными резисторами R1 = 1 кОм*, R2 = 10 кОм* (* по требованию заказчика "&amp;"номиналы резисторов могут быть любыми) ")</f>
        <v xml:space="preserve">Контакты датчика ДПМГ-2-200 гарантированно замыкаются при расстоянии между датчиком и магнитом 200 мм и гарантированно разомкнуты на расстоянии 260 мм.Датчики изготавливаются со встроенными резисторами R1 = 1 кОм*, R2 = 10 кОм* (* по требованию заказчика номиналы резисторов могут быть любыми) </v>
      </c>
      <c r="C395" s="9">
        <f ca="1">IFERROR(__xludf.DUMMYFUNCTION("""COMPUTED_VALUE"""),7917)</f>
        <v>7917</v>
      </c>
      <c r="D395" s="6"/>
      <c r="E395" s="8"/>
    </row>
    <row r="396" spans="1:5" ht="51">
      <c r="A396" s="5" t="str">
        <f ca="1">IFERROR(__xludf.DUMMYFUNCTION("""COMPUTED_VALUE"""),"ДПМГР-2 0Ex ia IIC T6 Ga Х/РО Ex ia I Ma Х ПАШК.425119.161")</f>
        <v>ДПМГР-2 0Ex ia IIC T6 Ga Х/РО Ex ia I Ma Х ПАШК.425119.161</v>
      </c>
      <c r="B396" s="6" t="str">
        <f ca="1">IFERROR(__xludf.DUMMYFUNCTION("""COMPUTED_VALUE"""),"Взрывозащищенный. Степень защиты оболочки – IP66/IP68. 
НР, вывод 1м*×ПВС 2×0.75 (двойная изоляция)")</f>
        <v>Взрывозащищенный. Степень защиты оболочки – IP66/IP68. 
НР, вывод 1м*×ПВС 2×0.75 (двойная изоляция)</v>
      </c>
      <c r="C396" s="9">
        <f ca="1">IFERROR(__xludf.DUMMYFUNCTION("""COMPUTED_VALUE"""),6413)</f>
        <v>6413</v>
      </c>
      <c r="D396" s="6"/>
      <c r="E396" s="8"/>
    </row>
    <row r="397" spans="1:5" ht="76.5">
      <c r="A397" s="5" t="str">
        <f ca="1">IFERROR(__xludf.DUMMYFUNCTION("""COMPUTED_VALUE"""),"Ех ИО102 N исп.200 с магнитом М-50 1Ex d IIC T6 Gb / РB Ex d I Mb АТФЕ.425119.171")</f>
        <v>Ех ИО102 N исп.200 с магнитом М-50 1Ex d IIC T6 Gb / РB Ex d I Mb АТФЕ.425119.171</v>
      </c>
      <c r="B397"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100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100 мм , Uкомут. – 0,02-27 В, Iкоммут. -0.01-0.25 А, Pкоммут. не более 10 Вт IP66/IP67</v>
      </c>
      <c r="C397" s="9">
        <f ca="1">IFERROR(__xludf.DUMMYFUNCTION("""COMPUTED_VALUE"""),17072)</f>
        <v>17072</v>
      </c>
      <c r="D397" s="6"/>
      <c r="E397" s="8"/>
    </row>
    <row r="398" spans="1:5" ht="76.5">
      <c r="A398" s="5" t="str">
        <f ca="1">IFERROR(__xludf.DUMMYFUNCTION("""COMPUTED_VALUE"""),"Ех ИО102 N исп.200 с магнитом М-100 
1Ex d IIC T6 Gb / РB Ex d I Mb
АТФЕ.425119.171")</f>
        <v>Ех ИО102 N исп.200 с магнитом М-100 
1Ex d IIC T6 Gb / РB Ex d I Mb
АТФЕ.425119.171</v>
      </c>
      <c r="B398"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398" s="9">
        <f ca="1">IFERROR(__xludf.DUMMYFUNCTION("""COMPUTED_VALUE"""),13776.653)</f>
        <v>13776.653</v>
      </c>
      <c r="D398" s="6"/>
      <c r="E398" s="8"/>
    </row>
    <row r="399" spans="1:5" ht="76.5">
      <c r="A399" s="5" t="str">
        <f ca="1">IFERROR(__xludf.DUMMYFUNCTION("""COMPUTED_VALUE"""),"Ех ИО102 N исп.200 с магнитом М-150 1Ex d IIC T6 Gb / РB Ex d I Mb АТФЕ.425119.171")</f>
        <v>Ех ИО102 N исп.200 с магнитом М-150 1Ex d IIC T6 Gb / РB Ex d I Mb АТФЕ.425119.171</v>
      </c>
      <c r="B399"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399" s="9">
        <f ca="1">IFERROR(__xludf.DUMMYFUNCTION("""COMPUTED_VALUE"""),13776.653)</f>
        <v>13776.653</v>
      </c>
      <c r="D399" s="6"/>
      <c r="E399" s="8"/>
    </row>
    <row r="400" spans="1:5" ht="76.5">
      <c r="A400" s="5" t="str">
        <f ca="1">IFERROR(__xludf.DUMMYFUNCTION("""COMPUTED_VALUE"""),"Ех ИО102 N исп.200 с магнитом М-175 1Ex d IIC T6 Gb / РB Ex d I Mb АТФЕ.425119.171")</f>
        <v>Ех ИО102 N исп.200 с магнитом М-175 1Ex d IIC T6 Gb / РB Ex d I Mb АТФЕ.425119.171</v>
      </c>
      <c r="B400"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40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40 мм , Uкомут. – 0,02-27 В, Iкоммут. -0.01-0.25 А, Pкоммут. не более 10 Вт IP66/IP67</v>
      </c>
      <c r="C400" s="9">
        <f ca="1">IFERROR(__xludf.DUMMYFUNCTION("""COMPUTED_VALUE"""),13776.653)</f>
        <v>13776.653</v>
      </c>
      <c r="D400" s="6"/>
      <c r="E400" s="8"/>
    </row>
    <row r="401" spans="1:5" ht="76.5">
      <c r="A401" s="5" t="str">
        <f ca="1">IFERROR(__xludf.DUMMYFUNCTION("""COMPUTED_VALUE"""),"Ех ИО102 N исп.250 с магнитом М-100 
1Ex d IIC T6 Gb / РB Ex d I Mb
АТФЕ.425119.171")</f>
        <v>Ех ИО102 N исп.250 с магнитом М-100 
1Ex d IIC T6 Gb / РB Ex d I Mb
АТФЕ.425119.171</v>
      </c>
      <c r="B401"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v>
      </c>
      <c r="C401" s="9">
        <f ca="1">IFERROR(__xludf.DUMMYFUNCTION("""COMPUTED_VALUE"""),14084.642)</f>
        <v>14084.642</v>
      </c>
      <c r="D401" s="6"/>
      <c r="E401" s="8"/>
    </row>
    <row r="402" spans="1:5" ht="76.5">
      <c r="A402" s="5" t="str">
        <f ca="1">IFERROR(__xludf.DUMMYFUNCTION("""COMPUTED_VALUE"""),"Ех ИО102 N исп.300 с магнитом М-100 
1Ex d IIC T6 Gb / РB Ex d I Mb
АТФЕ.425119.171")</f>
        <v>Ех ИО102 N исп.300 с магнитом М-100 
1Ex d IIC T6 Gb / РB Ex d I Mb
АТФЕ.425119.171</v>
      </c>
      <c r="B402"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02" s="9">
        <f ca="1">IFERROR(__xludf.DUMMYFUNCTION("""COMPUTED_VALUE"""),14789.5)</f>
        <v>14789.5</v>
      </c>
      <c r="D402" s="6"/>
      <c r="E402" s="8"/>
    </row>
    <row r="403" spans="1:5" ht="76.5">
      <c r="A403" s="5" t="str">
        <f ca="1">IFERROR(__xludf.DUMMYFUNCTION("""COMPUTED_VALUE"""),"Ех ИО102 N исп.200 с магнитом М-200 
1Ex d IIC T6 Gb / РB Ex d I Mb
АТФЕ.425119.171")</f>
        <v>Ех ИО102 N исп.200 с магнитом М-200 
1Ex d IIC T6 Gb / РB Ex d I Mb
АТФЕ.425119.171</v>
      </c>
      <c r="B403"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03" s="9">
        <f ca="1">IFERROR(__xludf.DUMMYFUNCTION("""COMPUTED_VALUE"""),10208)</f>
        <v>10208</v>
      </c>
      <c r="D403" s="6"/>
      <c r="E403" s="8"/>
    </row>
    <row r="404" spans="1:5" ht="76.5">
      <c r="A404" s="5" t="str">
        <f ca="1">IFERROR(__xludf.DUMMYFUNCTION("""COMPUTED_VALUE"""),"Ех ИО102 N исп.200 с магнитом М-250 1Ex d IIC T6 Gb / РB Ex d I Mb АТФЕ.425119.171")</f>
        <v>Ех ИО102 N исп.200 с магнитом М-250 1Ex d IIC T6 Gb / РB Ex d I Mb АТФЕ.425119.171</v>
      </c>
      <c r="B404"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30 мм , Uкомут. – 0,02-27 В, Iкоммут. -0.01-0.25 А, Pкоммут. не более 10 Вт IP66/IP67</v>
      </c>
      <c r="C404" s="9">
        <f ca="1">IFERROR(__xludf.DUMMYFUNCTION("""COMPUTED_VALUE"""),10208)</f>
        <v>10208</v>
      </c>
      <c r="D404" s="6"/>
      <c r="E404" s="8"/>
    </row>
    <row r="405" spans="1:5" ht="76.5">
      <c r="A405" s="5" t="str">
        <f ca="1">IFERROR(__xludf.DUMMYFUNCTION("""COMPUTED_VALUE"""),"Ех ИО102 N исп.200 с магнитом М-275 1Ex d IIC T6 Gb / РB Ex d I Mb АТФЕ.425119.171")</f>
        <v>Ех ИО102 N исп.200 с магнитом М-275 1Ex d IIC T6 Gb / РB Ex d I Mb АТФЕ.425119.171</v>
      </c>
      <c r="B405"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20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20 мм , Uкомут. – 0,02-27 В, Iкоммут. -0.01-0.25 А, Pкоммут. не более 10 Вт IP66/IP67</v>
      </c>
      <c r="C405" s="9">
        <f ca="1">IFERROR(__xludf.DUMMYFUNCTION("""COMPUTED_VALUE"""),10208)</f>
        <v>10208</v>
      </c>
      <c r="D405" s="6"/>
      <c r="E405" s="8"/>
    </row>
    <row r="406" spans="1:5" ht="76.5">
      <c r="A406" s="5" t="str">
        <f ca="1">IFERROR(__xludf.DUMMYFUNCTION("""COMPUTED_VALUE"""),"Ех ИО102 N исп.250 с магнитом М-200 
1Ex d IIC T6 Gb / РB Ex d I Mb
АТФЕ.425119.171")</f>
        <v>Ех ИО102 N исп.250 с магнитом М-200 
1Ex d IIC T6 Gb / РB Ex d I Mb
АТФЕ.425119.171</v>
      </c>
      <c r="B406"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v>
      </c>
      <c r="C406" s="9">
        <f ca="1">IFERROR(__xludf.DUMMYFUNCTION("""COMPUTED_VALUE"""),10624.042)</f>
        <v>10624.041999999999</v>
      </c>
      <c r="D406" s="6"/>
      <c r="E406" s="8"/>
    </row>
    <row r="407" spans="1:5" ht="76.5">
      <c r="A407" s="5" t="str">
        <f ca="1">IFERROR(__xludf.DUMMYFUNCTION("""COMPUTED_VALUE"""),"Ех ИО102 N исп.300 с магнитом М-200 
1Ex d IIC T6 Gb / РB Ex d I Mb
АТФЕ.425119.171")</f>
        <v>Ех ИО102 N исп.300 с магнитом М-200 
1Ex d IIC T6 Gb / РB Ex d I Mb
АТФЕ.425119.171</v>
      </c>
      <c r="B407"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07" s="9">
        <f ca="1">IFERROR(__xludf.DUMMYFUNCTION("""COMPUTED_VALUE"""),10703)</f>
        <v>10703</v>
      </c>
      <c r="D407" s="6"/>
      <c r="E407" s="8"/>
    </row>
    <row r="408" spans="1:5" ht="76.5">
      <c r="A408" s="5" t="str">
        <f ca="1">IFERROR(__xludf.DUMMYFUNCTION("""COMPUTED_VALUE"""),"Eх ИО102 N исп.200 с магнитом М-300 
1Ex d IIC T6 Gb / РB Ex d I Mb 
АТФЕ.425119.171")</f>
        <v>Eх ИО102 N исп.200 с магнитом М-300 
1Ex d IIC T6 Gb / РB Ex d I Mb 
АТФЕ.425119.171</v>
      </c>
      <c r="B408"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10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10 мм , Uкомут. – 0,02-27 В, Iкоммут. -0.01-0.25 А, Pкоммут. не более 10 Вт IP66/IP67</v>
      </c>
      <c r="C408" s="9">
        <f ca="1">IFERROR(__xludf.DUMMYFUNCTION("""COMPUTED_VALUE"""),10208)</f>
        <v>10208</v>
      </c>
      <c r="D408" s="6"/>
      <c r="E408" s="8"/>
    </row>
    <row r="409" spans="1:5" ht="102">
      <c r="A409" s="5" t="str">
        <f ca="1">IFERROR(__xludf.DUMMYFUNCTION("""COMPUTED_VALUE"""),"Ех ИО102 N исп.200 с магнитом М-100, с постоянно присоединенным кабелем в металлорукаве 
1Ex d IIC T6 Gb / РB Ex d I Mb
АТФЕ.425119.171")</f>
        <v>Ех ИО102 N исп.200 с магнитом М-100, с постоянно присоединенным кабелем в металлорукаве 
1Ex d IIC T6 Gb / РB Ex d I Mb
АТФЕ.425119.171</v>
      </c>
      <c r="B409"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боле"&amp;"е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более 10 Вт IP66/IP67</v>
      </c>
      <c r="C409" s="9">
        <f ca="1">IFERROR(__xludf.DUMMYFUNCTION("""COMPUTED_VALUE"""),11182.501)</f>
        <v>11182.501</v>
      </c>
      <c r="D409" s="6"/>
      <c r="E409" s="8"/>
    </row>
    <row r="410" spans="1:5" ht="102">
      <c r="A410" s="5" t="str">
        <f ca="1">IFERROR(__xludf.DUMMYFUNCTION("""COMPUTED_VALUE"""),"Ех ИО102 N исп.250 с магнитом М-100, с постоянно присоединенным кабелем в металлорукаве 
1Ex d IIC T6 Gb / РB Ex d I Mb
АТФЕ.425119.171")</f>
        <v>Ех ИО102 N исп.250 с магнитом М-100, с постоянно присоединенным кабелем в металлорукаве 
1Ex d IIC T6 Gb / РB Ex d I Mb
АТФЕ.425119.171</v>
      </c>
      <c r="B410"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более"&amp;" 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 10 Вт IP66/IP67</v>
      </c>
      <c r="C410" s="9">
        <f ca="1">IFERROR(__xludf.DUMMYFUNCTION("""COMPUTED_VALUE"""),11482.273)</f>
        <v>11482.272999999999</v>
      </c>
      <c r="D410" s="6"/>
      <c r="E410" s="8"/>
    </row>
    <row r="411" spans="1:5" ht="102">
      <c r="A411" s="5" t="str">
        <f ca="1">IFERROR(__xludf.DUMMYFUNCTION("""COMPUTED_VALUE"""),"Ех ИО102 N исп.300 с магнитом М-100, с постоянно присоединенным кабелем в металлорукаве 
1Ex d IIC T6 Gb / РB Ex d I Mb
АТФЕ.425119.171")</f>
        <v>Ех ИО102 N исп.300 с магнитом М-100, с постоянно присоединенным кабелем в металлорукаве 
1Ex d IIC T6 Gb / РB Ex d I Mb
АТФЕ.425119.171</v>
      </c>
      <c r="B411"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Вт"&amp;" 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 IP66/IP67</v>
      </c>
      <c r="C411" s="9">
        <f ca="1">IFERROR(__xludf.DUMMYFUNCTION("""COMPUTED_VALUE"""),12056)</f>
        <v>12056</v>
      </c>
      <c r="D411" s="6"/>
      <c r="E411" s="8"/>
    </row>
    <row r="412" spans="1:5" ht="102">
      <c r="A412" s="5" t="str">
        <f ca="1">IFERROR(__xludf.DUMMYFUNCTION("""COMPUTED_VALUE"""),"Ех ИО102 N исп.200, с магнитом М-200, с постоянно присоединенным кабелем в металлорукаве 
1Ex d IIC T6 Gb /  РB Ex d I Mb
АТФЕ.425119.171")</f>
        <v>Ех ИО102 N исп.200, с магнитом М-200, с постоянно присоединенным кабелем в металлорукаве 
1Ex d IIC T6 Gb /  РB Ex d I Mb
АТФЕ.425119.171</v>
      </c>
      <c r="B412"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более 10 Вт IP66/IP67</v>
      </c>
      <c r="C412" s="9">
        <f ca="1">IFERROR(__xludf.DUMMYFUNCTION("""COMPUTED_VALUE"""),7921.309)</f>
        <v>7921.3090000000002</v>
      </c>
      <c r="D412" s="6"/>
      <c r="E412" s="8"/>
    </row>
    <row r="413" spans="1:5" ht="102">
      <c r="A413" s="5" t="str">
        <f ca="1">IFERROR(__xludf.DUMMYFUNCTION("""COMPUTED_VALUE"""),"Ех ИО102 N исп.250, с магнитом М-200, с постоянно присоединенным кабелем в металлорукаве 
1Ex d IIC T6 Gb / РB Ex d I Mb
АТФЕ.425119.171")</f>
        <v>Ех ИО102 N исп.250, с магнитом М-200, с постоянно присоединенным кабелем в металлорукаве 
1Ex d IIC T6 Gb / РB Ex d I Mb
АТФЕ.425119.171</v>
      </c>
      <c r="B413"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10 Вт IP66/IP67</v>
      </c>
      <c r="C413" s="9">
        <f ca="1">IFERROR(__xludf.DUMMYFUNCTION("""COMPUTED_VALUE"""),8193.845)</f>
        <v>8193.8449999999993</v>
      </c>
      <c r="D413" s="6"/>
      <c r="E413" s="8"/>
    </row>
    <row r="414" spans="1:5" ht="102">
      <c r="A414" s="5" t="str">
        <f ca="1">IFERROR(__xludf.DUMMYFUNCTION("""COMPUTED_VALUE"""),"Ех ИО102 N исп.300 с магнитом М-200, с постоянно присоединенным кабелем в металлорукаве 
1Ex d IIC T6 Gb / РB Ex d I Mb
АТФЕ.425119.171")</f>
        <v>Ех ИО102 N исп.300 с магнитом М-200, с постоянно присоединенным кабелем в металлорукаве 
1Ex d IIC T6 Gb / РB Ex d I Mb
АТФЕ.425119.171</v>
      </c>
      <c r="B414"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"&amp;"IP66/IP67")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IP66/IP67</v>
      </c>
      <c r="C414" s="9">
        <f ca="1">IFERROR(__xludf.DUMMYFUNCTION("""COMPUTED_VALUE"""),8602)</f>
        <v>8602</v>
      </c>
      <c r="D414" s="6"/>
      <c r="E414" s="8"/>
    </row>
    <row r="415" spans="1:5" ht="102">
      <c r="A415" s="5" t="str">
        <f ca="1">IFERROR(__xludf.DUMMYFUNCTION("""COMPUTED_VALUE"""),"Ех ИО102 N исп.200, с магнитом М-300, с постоянно присоединенным кабелем в металлорукаве 
1Ex d IIC T6 Gb / РB Ex d I Mb 
АТФЕ.425119.171")</f>
        <v>Ех ИО102 N исп.200, с магнитом М-300, с постоянно присоединенным кабелем в металлорукаве 
1Ex d IIC T6 Gb / РB Ex d I Mb 
АТФЕ.425119.171</v>
      </c>
      <c r="B415"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10 мм , Uкомут. – 0,02-27 В, Iкоммут. -0.01-0.25 А, Pкоммут. не более 10 Вт IP66/IP67</v>
      </c>
      <c r="C415" s="9">
        <f ca="1">IFERROR(__xludf.DUMMYFUNCTION("""COMPUTED_VALUE"""),7921.309)</f>
        <v>7921.3090000000002</v>
      </c>
      <c r="D415" s="6"/>
      <c r="E415" s="8"/>
    </row>
    <row r="416" spans="1:5" ht="102">
      <c r="A416" s="5" t="str">
        <f ca="1">IFERROR(__xludf.DUMMYFUNCTION("""COMPUTED_VALUE"""),"Ех ИО102 N исп.211 (торцевой), с постоянно присоединенным кабелем 
1Ex d IIC T6 Gb / РB Ex d I Mb
АТФЕ.425119.171")</f>
        <v>Ех ИО102 N исп.211 (торцевой), с постоянно присоединенным кабелем 
1Ex d IIC T6 Gb / РB Ex d I Mb
АТФЕ.425119.171</v>
      </c>
      <c r="B416"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более 10 Вт IP66/IP67</v>
      </c>
      <c r="C416" s="9">
        <f ca="1">IFERROR(__xludf.DUMMYFUNCTION("""COMPUTED_VALUE"""),6358.858)</f>
        <v>6358.8580000000002</v>
      </c>
      <c r="D416" s="6"/>
      <c r="E416" s="8"/>
    </row>
    <row r="417" spans="1:5" ht="102">
      <c r="A417" s="5" t="str">
        <f ca="1">IFERROR(__xludf.DUMMYFUNCTION("""COMPUTED_VALUE"""),"Ех ИО102 N исп.251 (торцевой), с постоянно присоединенным кабелем 
1Ex d IIC T6 Gb / РB Ex d I Mb
АТФЕ.425119.171")</f>
        <v>Ех ИО102 N исп.251 (торцевой), с постоянно присоединенным кабелем 
1Ex d IIC T6 Gb / РB Ex d I Mb
АТФЕ.425119.171</v>
      </c>
      <c r="B417"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10 Вт IP66/IP67</v>
      </c>
      <c r="C417" s="9">
        <f ca="1">IFERROR(__xludf.DUMMYFUNCTION("""COMPUTED_VALUE"""),6667.716)</f>
        <v>6667.7160000000003</v>
      </c>
      <c r="D417" s="6"/>
      <c r="E417" s="8"/>
    </row>
    <row r="418" spans="1:5" ht="102">
      <c r="A418" s="5" t="str">
        <f ca="1">IFERROR(__xludf.DUMMYFUNCTION("""COMPUTED_VALUE"""),"Ех ИО102 N исп.301 (торцевой), с постоянно присоединенным кабелем
1Ex d IIC T6 Gb / РB Ex d I Mb
АТФЕ.425119.171")</f>
        <v>Ех ИО102 N исп.301 (торцевой), с постоянно присоединенным кабелем
1Ex d IIC T6 Gb / РB Ex d I Mb
АТФЕ.425119.171</v>
      </c>
      <c r="B418"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I"&amp;"P66/IP67")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IP66/IP67</v>
      </c>
      <c r="C418" s="9">
        <f ca="1">IFERROR(__xludf.DUMMYFUNCTION("""COMPUTED_VALUE"""),7001.5)</f>
        <v>7001.5</v>
      </c>
      <c r="D418" s="6"/>
      <c r="E418" s="8"/>
    </row>
    <row r="419" spans="1:5" ht="114.75">
      <c r="A419" s="5" t="str">
        <f ca="1">IFERROR(__xludf.DUMMYFUNCTION("""COMPUTED_VALUE"""),"Ех ИО102 N исп.200 FRHF с магнитом М-100, с постоянно присоединенным кабелем FRHF в металлорукаве 
 1Ex d IIC T6 Gb / РB Ex d I Mb
 АТФЕ.425119.171")</f>
        <v>Ех ИО102 N исп.200 FRHF с магнитом М-100, с постоянно присоединенным кабелем FRHF в металлорукаве 
 1Ex d IIC T6 Gb / РB Ex d I Mb
 АТФЕ.425119.171</v>
      </c>
      <c r="B419" s="6" t="str">
        <f ca="1">IFERROR(__xludf.DUMMYFUNCTION("""COMPUTED_VALUE"""),"Корпус - нержавеющая сталь 12Х18Н10Т,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-0."&amp;"01-0.25 А, Pкоммут. не более 10 Вт IP66/IP67")</f>
        <v>Корпус - нержавеющая сталь 12Х18Н10Т,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-0.01-0.25 А, Pкоммут. не более 10 Вт IP66/IP67</v>
      </c>
      <c r="C419" s="9">
        <f ca="1">IFERROR(__xludf.DUMMYFUNCTION("""COMPUTED_VALUE"""),11182.5)</f>
        <v>11182.5</v>
      </c>
      <c r="D419" s="6"/>
      <c r="E419" s="8"/>
    </row>
    <row r="420" spans="1:5" ht="114.75">
      <c r="A420" s="5" t="str">
        <f ca="1">IFERROR(__xludf.DUMMYFUNCTION("""COMPUTED_VALUE"""),"Ех ИО102 N исп.250 FRHF с магнитом М-100, с постоянно присоединенным кабелем в металлорукаве FRHF 1Ex d IIC T6 Gb / РB Ex d I Mb
 АТФЕ.425119.171")</f>
        <v>Ех ИО102 N исп.250 FRHF с магнитом М-100, с постоянно присоединенным кабелем в металлорукаве FRHF 1Ex d IIC T6 Gb / РB Ex d I Mb
 АТФЕ.425119.171</v>
      </c>
      <c r="B420" s="6" t="str">
        <f ca="1">IFERROR(__xludf.DUMMYFUNCTION("""COMPUTED_VALUE"""),"корпус - нержавеющая сталь 12Х18Н10Т, нормально-замкнутый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-0.0"&amp;"1-0.25 А, Pкоммут. не более 10 Вт IP66/IP67")</f>
        <v>корпус - нержавеющая сталь 12Х18Н10Т, нормально-замкнутый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Pкоммут. не более 10 Вт IP66/IP67</v>
      </c>
      <c r="C420" s="9">
        <f ca="1">IFERROR(__xludf.DUMMYFUNCTION("""COMPUTED_VALUE"""),11482.27)</f>
        <v>11482.27</v>
      </c>
      <c r="D420" s="6"/>
      <c r="E420" s="8"/>
    </row>
    <row r="421" spans="1:5" ht="114.75">
      <c r="A421" s="5" t="str">
        <f ca="1">IFERROR(__xludf.DUMMYFUNCTION("""COMPUTED_VALUE"""),"Ех ИО102 N исп.200 АВТО с магнитом М-100, с постоянно присоединенным спецкабелем в металлорукаве 
 1Ex d IIC T6 Gb / РB Ex d I Mb
 АТФЕ.425119.171")</f>
        <v>Ех ИО102 N исп.200 АВТО с магнитом М-100, с постоянно присоединенным спецкабелем в металлорукаве 
 1Ex d IIC T6 Gb / РB Ex d I Mb
 АТФЕ.425119.171</v>
      </c>
      <c r="B421" s="6" t="str">
        <f ca="1">IFERROR(__xludf.DUMMYFUNCTION("""COMPUTED_VALUE"""),"Корпус - нержавеющая сталь 12Х18Н10Т,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Iк"&amp;"оммут. -0.01-0.25 А, Pкоммут. не более 10 Вт IP66/IP67")</f>
        <v>Корпус - нержавеющая сталь 12Х18Н10Т,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 -0.01-0.25 А, Pкоммут. не более 10 Вт IP66/IP67</v>
      </c>
      <c r="C421" s="9">
        <f ca="1">IFERROR(__xludf.DUMMYFUNCTION("""COMPUTED_VALUE"""),11400)</f>
        <v>11400</v>
      </c>
      <c r="D421" s="6"/>
      <c r="E421" s="8"/>
    </row>
    <row r="422" spans="1:5" ht="114.75">
      <c r="A422" s="5" t="str">
        <f ca="1">IFERROR(__xludf.DUMMYFUNCTION("""COMPUTED_VALUE"""),"Ех ИО102 N исп.250 АВТО с магнитом М-100, с постоянно присоединенным спецкабелем в металлорукаве 1Ex d IIC T6 Gb / РB Ex d I Mb
 АТФЕ.425119.171")</f>
        <v>Ех ИО102 N исп.250 АВТО с магнитом М-100, с постоянно присоединенным спецкабелем в металлорукаве 1Ex d IIC T6 Gb / РB Ex d I Mb
 АТФЕ.425119.171</v>
      </c>
      <c r="B422" s="6" t="str">
        <f ca="1">IFERROR(__xludf.DUMMYFUNCTION("""COMPUTED_VALUE"""),"корпус - нержавеющая сталь 12Х18Н10Т, 
 нормально-замкнутый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Iко"&amp;"ммут. -0.01-0.25 А, Pкоммут. не более 10 Вт IP66/IP67")</f>
        <v>корпус - нержавеющая сталь 12Х18Н10Т, 
 нормально-замкнутый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-0.01-0.25 А, Pкоммут. не более 10 Вт IP66/IP67</v>
      </c>
      <c r="C422" s="9">
        <f ca="1">IFERROR(__xludf.DUMMYFUNCTION("""COMPUTED_VALUE"""),11700)</f>
        <v>11700</v>
      </c>
      <c r="D422" s="6"/>
      <c r="E422" s="8"/>
    </row>
    <row r="423" spans="1:5" ht="76.5">
      <c r="A423" s="5" t="str">
        <f ca="1">IFERROR(__xludf.DUMMYFUNCTION("""COMPUTED_VALUE"""),"Ех ИО102 Al исп.200 с магнитом М-50 1Ex d IIC T6 Gb АТФЕ.425119.171")</f>
        <v>Ех ИО102 Al исп.200 с магнитом М-50 1Ex d IIC T6 Gb АТФЕ.425119.171</v>
      </c>
      <c r="B423"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100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100 мм , Uкомут. – 0,02-60 В, Iкоммут. -0.01-0.25 А, Pкоммут. не более 10 Вт IP66/IP67</v>
      </c>
      <c r="C423" s="9">
        <f ca="1">IFERROR(__xludf.DUMMYFUNCTION("""COMPUTED_VALUE"""),16258)</f>
        <v>16258</v>
      </c>
      <c r="D423" s="6"/>
      <c r="E423" s="8"/>
    </row>
    <row r="424" spans="1:5" ht="76.5">
      <c r="A424" s="5" t="str">
        <f ca="1">IFERROR(__xludf.DUMMYFUNCTION("""COMPUTED_VALUE"""),"Ех ИО102 Al исп.200 с магнитом М-100 
1Ex d IIC T6 Gb
АТФЕ.425119.171")</f>
        <v>Ех ИО102 Al исп.200 с магнитом М-100 
1Ex d IIC T6 Gb
АТФЕ.425119.171</v>
      </c>
      <c r="B424"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24" s="9">
        <f ca="1">IFERROR(__xludf.DUMMYFUNCTION("""COMPUTED_VALUE"""),12950.3)</f>
        <v>12950.3</v>
      </c>
      <c r="D424" s="6"/>
      <c r="E424" s="8"/>
    </row>
    <row r="425" spans="1:5" ht="76.5">
      <c r="A425" s="5" t="str">
        <f ca="1">IFERROR(__xludf.DUMMYFUNCTION("""COMPUTED_VALUE"""),"Ех ИО102 Al исп.200 с магнитом М-150 
1Ex d IIC T6 Gb
АТФЕ.425119.171")</f>
        <v>Ех ИО102 Al исп.200 с магнитом М-150 
1Ex d IIC T6 Gb
АТФЕ.425119.171</v>
      </c>
      <c r="B425"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50 мм , Uкомут. – 0,02-60 В, Iкоммут. -0.01-0.25 А, Pкоммут. не более 10 Вт IP66/IP67</v>
      </c>
      <c r="C425" s="9">
        <f ca="1">IFERROR(__xludf.DUMMYFUNCTION("""COMPUTED_VALUE"""),12950.3)</f>
        <v>12950.3</v>
      </c>
      <c r="D425" s="6"/>
      <c r="E425" s="8"/>
    </row>
    <row r="426" spans="1:5" ht="76.5">
      <c r="A426" s="5" t="str">
        <f ca="1">IFERROR(__xludf.DUMMYFUNCTION("""COMPUTED_VALUE"""),"Ех ИО102 Al исп.200 с магнитом М-175 
1Ex d IIC T6 Gb
АТФЕ.425119.171")</f>
        <v>Ех ИО102 Al исп.200 с магнитом М-175 
1Ex d IIC T6 Gb
АТФЕ.425119.171</v>
      </c>
      <c r="B426"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40мм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40мм , Uкомут. – 0,02-60 В, Iкоммут. -0.01-0.25 А, Pкоммут. не более 10 Вт IP66/IP67</v>
      </c>
      <c r="C426" s="9">
        <f ca="1">IFERROR(__xludf.DUMMYFUNCTION("""COMPUTED_VALUE"""),12950.3)</f>
        <v>12950.3</v>
      </c>
      <c r="D426" s="6"/>
      <c r="E426" s="8"/>
    </row>
    <row r="427" spans="1:5" ht="76.5">
      <c r="A427" s="5" t="str">
        <f ca="1">IFERROR(__xludf.DUMMYFUNCTION("""COMPUTED_VALUE"""),"Ех ИО102 Al исп.250 с магнитом М-100 
1Ex d IIC T6 Gb
АТФЕ.425119.171")</f>
        <v>Ех ИО102 Al исп.250 с магнитом М-100 
1Ex d IIC T6 Gb
АТФЕ.425119.171</v>
      </c>
      <c r="B427"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v>
      </c>
      <c r="C427" s="9">
        <f ca="1">IFERROR(__xludf.DUMMYFUNCTION("""COMPUTED_VALUE"""),13251.326)</f>
        <v>13251.325999999999</v>
      </c>
      <c r="D427" s="6"/>
      <c r="E427" s="8"/>
    </row>
    <row r="428" spans="1:5" ht="76.5">
      <c r="A428" s="5" t="str">
        <f ca="1">IFERROR(__xludf.DUMMYFUNCTION("""COMPUTED_VALUE"""),"Ех ИО102 Al исп.300 с магнитом М-100 
1Ex d IIC T6 Gb
АТФЕ.425119.171")</f>
        <v>Ех ИО102 Al исп.300 с магнитом М-100 
1Ex d IIC T6 Gb
АТФЕ.425119.171</v>
      </c>
      <c r="B428" s="6" t="str">
        <f ca="1">IFERROR(__xludf.DUMMYFUNCTION("""COMPUTED_VALUE"""),"корпус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v>
      </c>
      <c r="C428" s="9">
        <f ca="1">IFERROR(__xludf.DUMMYFUNCTION("""COMPUTED_VALUE"""),13915)</f>
        <v>13915</v>
      </c>
      <c r="D428" s="6"/>
      <c r="E428" s="8"/>
    </row>
    <row r="429" spans="1:5" ht="89.25">
      <c r="A429" s="5" t="str">
        <f ca="1">IFERROR(__xludf.DUMMYFUNCTION("""COMPUTED_VALUE"""),"Ех ИО102 Al исп.200 с магнитом М-200 
1Ex d IIC T6 Gb
АТФЕ.425119.171")</f>
        <v>Ех ИО102 Al исп.200 с магнитом М-200 
1Ex d IIC T6 Gb
АТФЕ.425119.171</v>
      </c>
      <c r="B429"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29" s="9">
        <f ca="1">IFERROR(__xludf.DUMMYFUNCTION("""COMPUTED_VALUE"""),9372)</f>
        <v>9372</v>
      </c>
      <c r="D429" s="6"/>
      <c r="E429" s="8"/>
    </row>
    <row r="430" spans="1:5" ht="89.25">
      <c r="A430" s="5" t="str">
        <f ca="1">IFERROR(__xludf.DUMMYFUNCTION("""COMPUTED_VALUE"""),"Ех ИО102 Al исп.200 с магнитом М-250 
1Ex d IIC T6 Gb
АТФЕ.425119.171")</f>
        <v>Ех ИО102 Al исп.200 с магнитом М-250 
1Ex d IIC T6 Gb
АТФЕ.425119.171</v>
      </c>
      <c r="B430"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30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30 мм , Uкомут. – 0,02-60 В, Iкоммут. -0.01-0.25 А, Pкоммут. не более 10 Вт.</v>
      </c>
      <c r="C430" s="9">
        <f ca="1">IFERROR(__xludf.DUMMYFUNCTION("""COMPUTED_VALUE"""),9372)</f>
        <v>9372</v>
      </c>
      <c r="D430" s="6"/>
      <c r="E430" s="8"/>
    </row>
    <row r="431" spans="1:5" ht="89.25">
      <c r="A431" s="5" t="str">
        <f ca="1">IFERROR(__xludf.DUMMYFUNCTION("""COMPUTED_VALUE"""),"Ех ИО102 Al исп.200 с магнитом М-275
1Ex d IIC T6 Gb
АТФЕ.425119.171")</f>
        <v>Ех ИО102 Al исп.200 с магнитом М-275
1Ex d IIC T6 Gb
АТФЕ.425119.171</v>
      </c>
      <c r="B431"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20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20 мм , Uкомут. – 0,02-60 В, Iкоммут. -0.01-0.25 А, Pкоммут. не более 10 Вт.</v>
      </c>
      <c r="C431" s="9">
        <f ca="1">IFERROR(__xludf.DUMMYFUNCTION("""COMPUTED_VALUE"""),9372)</f>
        <v>9372</v>
      </c>
      <c r="D431" s="6"/>
      <c r="E431" s="8"/>
    </row>
    <row r="432" spans="1:5" ht="76.5">
      <c r="A432" s="5" t="str">
        <f ca="1">IFERROR(__xludf.DUMMYFUNCTION("""COMPUTED_VALUE"""),"Ех ИО102 Al исп.250 с магнитом М-200 
1Ex d IIC T6 Gb
АТФЕ.425119.171")</f>
        <v>Ех ИО102 Al исп.250 с магнитом М-200 
1Ex d IIC T6 Gb
АТФЕ.425119.171</v>
      </c>
      <c r="B432"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v>
      </c>
      <c r="C432" s="9">
        <f ca="1">IFERROR(__xludf.DUMMYFUNCTION("""COMPUTED_VALUE"""),9822.912)</f>
        <v>9822.9120000000003</v>
      </c>
      <c r="D432" s="6"/>
      <c r="E432" s="8"/>
    </row>
    <row r="433" spans="1:5" ht="76.5">
      <c r="A433" s="5" t="str">
        <f ca="1">IFERROR(__xludf.DUMMYFUNCTION("""COMPUTED_VALUE"""),"Ех ИО102 Al исп.300 с магнитом М-200 
1Ex d IIC T6 Gb
АТФЕ.425119.171")</f>
        <v>Ех ИО102 Al исп.300 с магнитом М-200 
1Ex d IIC T6 Gb
АТФЕ.425119.171</v>
      </c>
      <c r="B433" s="6" t="str">
        <f ca="1">IFERROR(__xludf.DUMMYFUNCTION("""COMPUTED_VALUE"""),"корпус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v>
      </c>
      <c r="C433" s="9">
        <f ca="1">IFERROR(__xludf.DUMMYFUNCTION("""COMPUTED_VALUE"""),9482)</f>
        <v>9482</v>
      </c>
      <c r="D433" s="6"/>
      <c r="E433" s="8"/>
    </row>
    <row r="434" spans="1:5" ht="76.5">
      <c r="A434" s="5" t="str">
        <f ca="1">IFERROR(__xludf.DUMMYFUNCTION("""COMPUTED_VALUE"""),"Ех ИО102 Al исп.200 с магнитом М-300 
1Ex d IIC T6 Gb 
АТФЕ.425119.171")</f>
        <v>Ех ИО102 Al исп.200 с магнитом М-300 
1Ex d IIC T6 Gb 
АТФЕ.425119.171</v>
      </c>
      <c r="B434"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10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10 мм , Uкомут. – 0,02-60 В, Iкоммут. -0.01-0.25 А, Pкоммут. не более 10 Вт IP66/IP67</v>
      </c>
      <c r="C434" s="9">
        <f ca="1">IFERROR(__xludf.DUMMYFUNCTION("""COMPUTED_VALUE"""),9372)</f>
        <v>9372</v>
      </c>
      <c r="D434" s="6"/>
      <c r="E434" s="8"/>
    </row>
    <row r="435" spans="1:5" ht="102">
      <c r="A435" s="5" t="str">
        <f ca="1">IFERROR(__xludf.DUMMYFUNCTION("""COMPUTED_VALUE"""),"Ех ИО102 Al исп.200, с магнитом М-100, с постоянно присоединенным кабелем в металлорукаве 
1Ex d IIC T6 Gb
АТФЕ.425119.171")</f>
        <v>Ех ИО102 Al исп.200, с магнитом М-100, с постоянно присоединенным кабелем в металлорукаве 
1Ex d IIC T6 Gb
АТФЕ.425119.171</v>
      </c>
      <c r="B435"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35" s="9">
        <f ca="1">IFERROR(__xludf.DUMMYFUNCTION("""COMPUTED_VALUE"""),10383.109)</f>
        <v>10383.109</v>
      </c>
      <c r="D435" s="6"/>
      <c r="E435" s="8"/>
    </row>
    <row r="436" spans="1:5" ht="89.25">
      <c r="A436" s="5" t="str">
        <f ca="1">IFERROR(__xludf.DUMMYFUNCTION("""COMPUTED_VALUE"""),"Ех ИО102 Al исп.250, с магнитом М-100, с постоянно присоединенным кабелем в металлорукаве 
1Ex d IIC T6 Gb
АТФЕ.425119.171")</f>
        <v>Ех ИО102 Al исп.250, с магнитом М-100, с постоянно присоединенным кабелем в металлорукаве 
1Ex d IIC T6 Gb
АТФЕ.425119.171</v>
      </c>
      <c r="B436" s="6" t="str">
        <f ca="1">IFERROR(__xludf.DUMMYFUNCTION("""COMPUTED_VALUE"""),"корпус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v>
      </c>
      <c r="C436" s="9">
        <f ca="1">IFERROR(__xludf.DUMMYFUNCTION("""COMPUTED_VALUE"""),10673.795)</f>
        <v>10673.795</v>
      </c>
      <c r="D436" s="6"/>
      <c r="E436" s="8"/>
    </row>
    <row r="437" spans="1:5" ht="89.25">
      <c r="A437" s="5" t="str">
        <f ca="1">IFERROR(__xludf.DUMMYFUNCTION("""COMPUTED_VALUE"""),"Ех ИО102 Al исп.300, с магнитом М-100, с постоянно присоединенным кабелем в металлорукаве 
1Ex d IIC T6 Gb
АТФЕ.425119.171")</f>
        <v>Ех ИО102 Al исп.300, с магнитом М-100, с постоянно присоединенным кабелем в металлорукаве 
1Ex d IIC T6 Gb
АТФЕ.425119.171</v>
      </c>
      <c r="B437" s="6" t="str">
        <f ca="1">IFERROR(__xludf.DUMMYFUNCTION("""COMPUTED_VALUE"""),"корпус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v>
      </c>
      <c r="C437" s="9">
        <f ca="1">IFERROR(__xludf.DUMMYFUNCTION("""COMPUTED_VALUE"""),11206.8)</f>
        <v>11206.8</v>
      </c>
      <c r="D437" s="6"/>
      <c r="E437" s="8"/>
    </row>
    <row r="438" spans="1:5" ht="102">
      <c r="A438" s="5" t="str">
        <f ca="1">IFERROR(__xludf.DUMMYFUNCTION("""COMPUTED_VALUE"""),"Ех ИО102 Al исп.200, с магнитом М-200, с постоянно присоединенным кабелем в металлорукаве
1Ex d IIC T6 Gb
АТФЕ.425119.171")</f>
        <v>Ех ИО102 Al исп.200, с магнитом М-200, с постоянно присоединенным кабелем в металлорукаве
1Ex d IIC T6 Gb
АТФЕ.425119.171</v>
      </c>
      <c r="B438"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38" s="9">
        <f ca="1">IFERROR(__xludf.DUMMYFUNCTION("""COMPUTED_VALUE"""),7121.917)</f>
        <v>7121.9170000000004</v>
      </c>
      <c r="D438" s="6"/>
      <c r="E438" s="8"/>
    </row>
    <row r="439" spans="1:5" ht="89.25">
      <c r="A439" s="5" t="str">
        <f ca="1">IFERROR(__xludf.DUMMYFUNCTION("""COMPUTED_VALUE"""),"Ех ИО102 Al исп.250, с магнитом М-200, с постоянно присоединенным кабелем в металлорукаве 
1Ex d IIC T6 Gb
АТФЕ.425119.171")</f>
        <v>Ех ИО102 Al исп.250, с магнитом М-200, с постоянно присоединенным кабелем в металлорукаве 
1Ex d IIC T6 Gb
АТФЕ.425119.171</v>
      </c>
      <c r="B439"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v>
      </c>
      <c r="C439" s="9">
        <f ca="1">IFERROR(__xludf.DUMMYFUNCTION("""COMPUTED_VALUE"""),7349.023)</f>
        <v>7349.0230000000001</v>
      </c>
      <c r="D439" s="6"/>
      <c r="E439" s="8"/>
    </row>
    <row r="440" spans="1:5" ht="89.25">
      <c r="A440" s="5" t="str">
        <f ca="1">IFERROR(__xludf.DUMMYFUNCTION("""COMPUTED_VALUE"""),"Ех ИО102 Al исп.300, с магнитом М-200, с постоянно присоединенным кабелем в металлорукаве 
1Ex d IIC T6 Gb
АТФЕ.425119.171")</f>
        <v>Ех ИО102 Al исп.300, с магнитом М-200, с постоянно присоединенным кабелем в металлорукаве 
1Ex d IIC T6 Gb
АТФЕ.425119.171</v>
      </c>
      <c r="B440"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v>
      </c>
      <c r="C440" s="9">
        <f ca="1">IFERROR(__xludf.DUMMYFUNCTION("""COMPUTED_VALUE"""),7716.5)</f>
        <v>7716.5</v>
      </c>
      <c r="D440" s="6"/>
      <c r="E440" s="8"/>
    </row>
    <row r="441" spans="1:5" ht="102">
      <c r="A441" s="5" t="str">
        <f ca="1">IFERROR(__xludf.DUMMYFUNCTION("""COMPUTED_VALUE"""),"Ех ИО102 Al исп.200, с магнитом М-300, с постоянно присоединенным кабелем в металлорукаве 
1Ex d IIC T6 Gb 
АТФЕ.425119.171")</f>
        <v>Ех ИО102 Al исп.200, с магнитом М-300, с постоянно присоединенным кабелем в металлорукаве 
1Ex d IIC T6 Gb 
АТФЕ.425119.171</v>
      </c>
      <c r="B441"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10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10 мм , Uкомут. – 0,02-60 В, Iкоммут. -0.01-0.25 А, Pкоммут. не более 10 Вт IP66/IP67</v>
      </c>
      <c r="C441" s="9">
        <f ca="1">IFERROR(__xludf.DUMMYFUNCTION("""COMPUTED_VALUE"""),7121.917)</f>
        <v>7121.9170000000004</v>
      </c>
      <c r="D441" s="6"/>
      <c r="E441" s="8"/>
    </row>
    <row r="442" spans="1:5" ht="102">
      <c r="A442" s="5" t="str">
        <f ca="1">IFERROR(__xludf.DUMMYFUNCTION("""COMPUTED_VALUE"""),"Ех ИО102 Al исп.211 (торцевой), с постоянно присоединенным кабелем в металлорукаве 
1Ex d IIC T6 Gb
АТФЕ.425119.171")</f>
        <v>Ех ИО102 Al исп.211 (торцевой), с постоянно присоединенным кабелем в металлорукаве 
1Ex d IIC T6 Gb
АТФЕ.425119.171</v>
      </c>
      <c r="B442"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 Вт IP66/IP67</v>
      </c>
      <c r="C442" s="9">
        <f ca="1">IFERROR(__xludf.DUMMYFUNCTION("""COMPUTED_VALUE"""),4087.842)</f>
        <v>4087.8420000000001</v>
      </c>
      <c r="D442" s="6"/>
      <c r="E442" s="8"/>
    </row>
    <row r="443" spans="1:5" ht="89.25">
      <c r="A443" s="5" t="str">
        <f ca="1">IFERROR(__xludf.DUMMYFUNCTION("""COMPUTED_VALUE"""),"Ех ИО102 Al исп.251 (торцевой), с постоянно присоединенным кабелем в металлорукаве 
1Ex d IIC T6 Gb
АТФЕ.425119.171")</f>
        <v>Ех ИО102 Al исп.251 (торцевой), с постоянно присоединенным кабелем в металлорукаве 
1Ex d IIC T6 Gb
АТФЕ.425119.171</v>
      </c>
      <c r="B443"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v>
      </c>
      <c r="C443" s="9">
        <f ca="1">IFERROR(__xludf.DUMMYFUNCTION("""COMPUTED_VALUE"""),4396.689)</f>
        <v>4396.6890000000003</v>
      </c>
      <c r="D443" s="6"/>
      <c r="E443" s="8"/>
    </row>
    <row r="444" spans="1:5" ht="89.25">
      <c r="A444" s="5" t="str">
        <f ca="1">IFERROR(__xludf.DUMMYFUNCTION("""COMPUTED_VALUE"""),"Ех ИО102 Al исп.301 (торцевой), с постоянно присоединенным кабелем в металлорукаве 
1Ex d IIC T6 Gb
АТФЕ.425119.171")</f>
        <v>Ех ИО102 Al исп.301 (торцевой), с постоянно присоединенным кабелем в металлорукаве 
1Ex d IIC T6 Gb
АТФЕ.425119.171</v>
      </c>
      <c r="B444"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v>
      </c>
      <c r="C444" s="9">
        <f ca="1">IFERROR(__xludf.DUMMYFUNCTION("""COMPUTED_VALUE"""),4616.7)</f>
        <v>4616.7</v>
      </c>
      <c r="D444" s="6"/>
      <c r="E444" s="8"/>
    </row>
    <row r="445" spans="1:5" ht="114.75">
      <c r="A445" s="5" t="str">
        <f ca="1">IFERROR(__xludf.DUMMYFUNCTION("""COMPUTED_VALUE"""),"Ех ИО102 Al исп.200 FRHF с магнитом М-100, с постоянно присоединенным кабелем FRHF в металлорукаве 
 1Ex d IIC T6 Gb / РB Ex d I Mb
 АТФЕ.425119.171")</f>
        <v>Ех ИО102 Al исп.200 FRHF с магнитом М-100, с постоянно присоединенным кабелем FRHF в металлорукаве 
 1Ex d IIC T6 Gb / РB Ex d I Mb
 АТФЕ.425119.171</v>
      </c>
      <c r="B445" s="6" t="str">
        <f ca="1">IFERROR(__xludf.DUMMYFUNCTION("""COMPUTED_VALUE"""),"Корпус - алюминиевый сплав Д16Т,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-0.01-0."&amp;"25 А, Pкоммут. не более 10 Вт IP66/IP67")</f>
        <v>Корпус - алюминиевый сплав Д16Т, нормально-разомкнутый геркон, присоединенный кабель FRHF огнестойкий безгалогенный в двойной изоляции в металлорукаве (штатно кабель 1м, конечная длина по запросу) Раст. сраб. 55 мм , Uкомут. – 0,02-27 В, Iкоммут. -0.01-0.25 А, Pкоммут. не более 10 Вт IP66/IP67</v>
      </c>
      <c r="C445" s="9">
        <f ca="1">IFERROR(__xludf.DUMMYFUNCTION("""COMPUTED_VALUE"""),10364)</f>
        <v>10364</v>
      </c>
      <c r="D445" s="6"/>
      <c r="E445" s="8"/>
    </row>
    <row r="446" spans="1:5" ht="114.75">
      <c r="A446" s="5" t="str">
        <f ca="1">IFERROR(__xludf.DUMMYFUNCTION("""COMPUTED_VALUE"""),"Ех ИО102 Al исп.250 FRHF с магнитом М-100, с постоянно присоединенным кабелем в металлорукаве FRHF 1Ex d IIC T6 Gb / РB Ex d I Mb
 АТФЕ.425119.171")</f>
        <v>Ех ИО102 Al исп.250 FRHF с магнитом М-100, с постоянно присоединенным кабелем в металлорукаве FRHF 1Ex d IIC T6 Gb / РB Ex d I Mb
 АТФЕ.425119.171</v>
      </c>
      <c r="B446" s="6" t="str">
        <f ca="1">IFERROR(__xludf.DUMMYFUNCTION("""COMPUTED_VALUE"""),"корпус - алюминиевый сплав Д16Т, переключающий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P"&amp;"коммут. не более 10 Вт IP66/IP67")</f>
        <v>корпус - алюминиевый сплав Д16Т, переключающий геркон, присоединенный кабель FRHF огнестойкий безгалогенный в двойной изоляции в металлорукаве (штатно кабель 1м, конечная длина по запросу). раст. сраб. 35 мм , Uкомут. – 0,02-27 В, Iкоммут. -0.01-0.25 А, Pкоммут. не более 10 Вт IP66/IP67</v>
      </c>
      <c r="C446" s="9">
        <f ca="1">IFERROR(__xludf.DUMMYFUNCTION("""COMPUTED_VALUE"""),10764)</f>
        <v>10764</v>
      </c>
      <c r="D446" s="6"/>
      <c r="E446" s="8"/>
    </row>
    <row r="447" spans="1:5" ht="114.75">
      <c r="A447" s="5" t="str">
        <f ca="1">IFERROR(__xludf.DUMMYFUNCTION("""COMPUTED_VALUE"""),"Ех ИО102 Al исп.200 АВТО с магнитом М-100, с постоянно присоединенным спецкабелем в металлорукаве 
 1Ex d IIC T6 Gb / РB Ex d I Mb
 АТФЕ.425119.171")</f>
        <v>Ех ИО102 Al исп.200 АВТО с магнитом М-100, с постоянно присоединенным спецкабелем в металлорукаве 
 1Ex d IIC T6 Gb / РB Ex d I Mb
 АТФЕ.425119.171</v>
      </c>
      <c r="B447" s="6" t="str">
        <f ca="1">IFERROR(__xludf.DUMMYFUNCTION("""COMPUTED_VALUE"""),"Корпус - алюминиевый сплав Д16Т,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Iкоммут."&amp;" -0.01-0.25 А, Pкоммут. не более 10 Вт IP66/IP67")</f>
        <v>Корпус - алюминиевый сплав Д16Т,  нормально-разомкнутый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55 мм , Uкомут. – 0,02-27 В, Iкоммут. -0.01-0.25 А, Pкоммут. не более 10 Вт IP66/IP67</v>
      </c>
      <c r="C447" s="9">
        <f ca="1">IFERROR(__xludf.DUMMYFUNCTION("""COMPUTED_VALUE"""),10584)</f>
        <v>10584</v>
      </c>
      <c r="D447" s="6"/>
      <c r="E447" s="8"/>
    </row>
    <row r="448" spans="1:5" ht="114.75">
      <c r="A448" s="5" t="str">
        <f ca="1">IFERROR(__xludf.DUMMYFUNCTION("""COMPUTED_VALUE"""),"Ех ИО102 Al исп.250 АВТО с магнитом М-100, с постоянно присоединенным спецкабелем в металлорукаве 1Ex d IIC T6 Gb / РB Ex d I Mb
 АТФЕ.425119.171")</f>
        <v>Ех ИО102 Al исп.250 АВТО с магнитом М-100, с постоянно присоединенным спецкабелем в металлорукаве 1Ex d IIC T6 Gb / РB Ex d I Mb
 АТФЕ.425119.171</v>
      </c>
      <c r="B448" s="6" t="str">
        <f ca="1">IFERROR(__xludf.DUMMYFUNCTION("""COMPUTED_VALUE"""),"корпус - алюминиевый сплав Д16Т, переключающий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-0.01-0"&amp;".25 А, Pкоммут. не более 10 Вт IP66/IP67")</f>
        <v>корпус - алюминиевый сплав Д16Т, переключающий геркон, присоединенный ударопрочный, масло-бензостойкий кабель 2х0,7 в двойной изоляции в металлорукаве (штатно кабель 1м, конечная длина по запросу). раст. сраб. 35 мм , Uкомут. – 0,02-27 В, Iкоммут. -0.01-0.25 А, Pкоммут. не более 10 Вт IP66/IP67</v>
      </c>
      <c r="C448" s="9">
        <f ca="1">IFERROR(__xludf.DUMMYFUNCTION("""COMPUTED_VALUE"""),10964)</f>
        <v>10964</v>
      </c>
      <c r="D448" s="6"/>
      <c r="E448" s="8"/>
    </row>
    <row r="449" spans="1:5" ht="76.5">
      <c r="A449" s="5" t="str">
        <f ca="1">IFERROR(__xludf.DUMMYFUNCTION("""COMPUTED_VALUE"""),"Ех ИО102 МК N исп.200 с магнитом М-100 1Ex d IIC T6 Gb /
 РB Ex d I Mb")</f>
        <v>Ех ИО102 МК N исп.200 с магнитом М-100 1Ex d IIC T6 Gb /
 РB Ex d I Mb</v>
      </c>
      <c r="B449"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449" s="9">
        <f ca="1">IFERROR(__xludf.DUMMYFUNCTION("""COMPUTED_VALUE"""),13776.653)</f>
        <v>13776.653</v>
      </c>
      <c r="D449" s="6"/>
      <c r="E449" s="8"/>
    </row>
    <row r="450" spans="1:5" ht="76.5">
      <c r="A450" s="5" t="str">
        <f ca="1">IFERROR(__xludf.DUMMYFUNCTION("""COMPUTED_VALUE"""),"Ех ИО102 МК N исп.300 с магнитом М-100 1Ex d IIC T6 Gb /
 РB Ex d I Mb")</f>
        <v>Ех ИО102 МК N исп.300 с магнитом М-100 1Ex d IIC T6 Gb /
 РB Ex d I Mb</v>
      </c>
      <c r="B450"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50" s="9">
        <f ca="1">IFERROR(__xludf.DUMMYFUNCTION("""COMPUTED_VALUE"""),14789.5)</f>
        <v>14789.5</v>
      </c>
      <c r="D450" s="6"/>
      <c r="E450" s="8"/>
    </row>
    <row r="451" spans="1:5" ht="76.5">
      <c r="A451" s="5" t="str">
        <f ca="1">IFERROR(__xludf.DUMMYFUNCTION("""COMPUTED_VALUE"""),"Ех ИО102 МК N исп.200 с магнитом М-200 1Ex d IIC T6 Gb /
 РB Ex d I Mb")</f>
        <v>Ех ИО102 МК N исп.200 с магнитом М-200 1Ex d IIC T6 Gb /
 РB Ex d I Mb</v>
      </c>
      <c r="B451"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51" s="9">
        <f ca="1">IFERROR(__xludf.DUMMYFUNCTION("""COMPUTED_VALUE"""),10208)</f>
        <v>10208</v>
      </c>
      <c r="D451" s="6"/>
      <c r="E451" s="8"/>
    </row>
    <row r="452" spans="1:5" ht="76.5">
      <c r="A452" s="5" t="str">
        <f ca="1">IFERROR(__xludf.DUMMYFUNCTION("""COMPUTED_VALUE"""),"Ех ИО102 МК N исп.300 с магнитом М-200 1Ex d IIC T6 Gb /
 РB Ex d I Mb")</f>
        <v>Ех ИО102 МК N исп.300 с магнитом М-200 1Ex d IIC T6 Gb /
 РB Ex d I Mb</v>
      </c>
      <c r="B452"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52" s="9">
        <f ca="1">IFERROR(__xludf.DUMMYFUNCTION("""COMPUTED_VALUE"""),10703)</f>
        <v>10703</v>
      </c>
      <c r="D452" s="6"/>
      <c r="E452" s="8"/>
    </row>
    <row r="453" spans="1:5" ht="76.5">
      <c r="A453" s="5" t="str">
        <f ca="1">IFERROR(__xludf.DUMMYFUNCTION("""COMPUTED_VALUE"""),"Ех ИО102 МК Al исп.200 с магнитом М-100 1Ex d IIC T6 Gb")</f>
        <v>Ех ИО102 МК Al исп.200 с магнитом М-100 1Ex d IIC T6 Gb</v>
      </c>
      <c r="B453"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53" s="9">
        <f ca="1">IFERROR(__xludf.DUMMYFUNCTION("""COMPUTED_VALUE"""),12950.3)</f>
        <v>12950.3</v>
      </c>
      <c r="D453" s="6"/>
      <c r="E453" s="8"/>
    </row>
    <row r="454" spans="1:5" ht="76.5">
      <c r="A454" s="5" t="str">
        <f ca="1">IFERROR(__xludf.DUMMYFUNCTION("""COMPUTED_VALUE"""),"Ех ИО102 МК Al исп.300 с магнитом М-100 1Ex d IIC T6 Gb")</f>
        <v>Ех ИО102 МК Al исп.300 с магнитом М-100 1Ex d IIC T6 Gb</v>
      </c>
      <c r="B454" s="6" t="str">
        <f ca="1">IFERROR(__xludf.DUMMYFUNCTION("""COMPUTED_VALUE"""),"корпус - алюминиевый сплав Д16Т, нормально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 переключающий геркон, сменный кабельный ввод с резьбой М25, тип штуцера - выбрать. Раст. сраб. 35 мм , Uкомут. – 0,02-60 В, Iкоммут. -0.01-0.25 А, Pкоммут. не более 10 Вт. IP66/IP67</v>
      </c>
      <c r="C454" s="9">
        <f ca="1">IFERROR(__xludf.DUMMYFUNCTION("""COMPUTED_VALUE"""),13915)</f>
        <v>13915</v>
      </c>
      <c r="D454" s="6"/>
      <c r="E454" s="8"/>
    </row>
    <row r="455" spans="1:5" ht="89.25">
      <c r="A455" s="5" t="str">
        <f ca="1">IFERROR(__xludf.DUMMYFUNCTION("""COMPUTED_VALUE"""),"Ех ИО102 МК Al исп.200 с магнитом М-200 1Ex d IIC T6 Gb")</f>
        <v>Ех ИО102 МК Al исп.200 с магнитом М-200 1Ex d IIC T6 Gb</v>
      </c>
      <c r="B455"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55" s="9">
        <f ca="1">IFERROR(__xludf.DUMMYFUNCTION("""COMPUTED_VALUE"""),9372)</f>
        <v>9372</v>
      </c>
      <c r="D455" s="6"/>
      <c r="E455" s="8"/>
    </row>
    <row r="456" spans="1:5" ht="76.5">
      <c r="A456" s="5" t="str">
        <f ca="1">IFERROR(__xludf.DUMMYFUNCTION("""COMPUTED_VALUE"""),"Ех ИО102 МК Al исп.300 с магнитом М-200 1Ex d IIC T6 Gb")</f>
        <v>Ех ИО102 МК Al исп.300 с магнитом М-200 1Ex d IIC T6 Gb</v>
      </c>
      <c r="B456" s="6" t="str">
        <f ca="1">IFERROR(__xludf.DUMMYFUNCTION("""COMPUTED_VALUE"""),"корпус - алюминиевый сплав Д16Т, нормально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 переключающий геркон, сменный кабельный ввод с резьбой М25, тип штуцера - выбрать. Раст. сраб. 30 мм , Uкомут. – 0,02-60 В, Iкоммут. -0.01-0.25 А, Pкоммут. не более 10 Вт. IP66/IP67</v>
      </c>
      <c r="C456" s="9">
        <f ca="1">IFERROR(__xludf.DUMMYFUNCTION("""COMPUTED_VALUE"""),9482)</f>
        <v>9482</v>
      </c>
      <c r="D456" s="6"/>
      <c r="E456" s="8"/>
    </row>
    <row r="457" spans="1:5" ht="76.5">
      <c r="A457" s="5" t="str">
        <f ca="1">IFERROR(__xludf.DUMMYFUNCTION("""COMPUTED_VALUE"""),"Ех ДВГ102 N 122 М137
 1Ex d IIC T6 Gb / РB Ex d I Mb
 (прежняя аббревиатура - Ех ДВГ102 N исп.200 с магнитом М-100 )")</f>
        <v>Ех ДВГ102 N 122 М137
 1Ex d IIC T6 Gb / РB Ex d I Mb
 (прежняя аббревиатура - Ех ДВГ102 N исп.200 с магнитом М-100 )</v>
      </c>
      <c r="B457"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55 мм , Uкомут. – 0,02-27 В, Iкоммут. -0.01-0.25 А, Pкоммут. не более 10 Вт IP66/IP67</v>
      </c>
      <c r="C457" s="9">
        <f ca="1">IFERROR(__xludf.DUMMYFUNCTION("""COMPUTED_VALUE"""),13081.068)</f>
        <v>13081.067999999999</v>
      </c>
      <c r="D457" s="6"/>
      <c r="E457" s="8"/>
    </row>
    <row r="458" spans="1:5" ht="76.5">
      <c r="A458" s="5" t="str">
        <f ca="1">IFERROR(__xludf.DUMMYFUNCTION("""COMPUTED_VALUE"""),"Ех ДВГ102 N 222 М137 
 1Ex d IIC T6 Gb /РB Ex d I Mb
 (прежняя аббревиатура - Ех ДВГ102 N исп.250 с магнитом М-100 )")</f>
        <v>Ех ДВГ102 N 222 М137 
 1Ex d IIC T6 Gb /РB Ex d I Mb
 (прежняя аббревиатура - Ех ДВГ102 N исп.250 с магнитом М-100 )</v>
      </c>
      <c r="B458"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35 мм , Uкомут. – 0,02-27 В, Iкоммут. -0.01-0.25 А, Pкоммут. не более 10 Вт IP66/IP67</v>
      </c>
      <c r="C458" s="9">
        <f ca="1">IFERROR(__xludf.DUMMYFUNCTION("""COMPUTED_VALUE"""),13389.937)</f>
        <v>13389.937</v>
      </c>
      <c r="D458" s="6"/>
      <c r="E458" s="8"/>
    </row>
    <row r="459" spans="1:5" ht="76.5">
      <c r="A459" s="5" t="str">
        <f ca="1">IFERROR(__xludf.DUMMYFUNCTION("""COMPUTED_VALUE"""),"Ех ДВГ102 N 322 М137 
 1Ex d IIC T6 Gb /РB Ex d I Mb 
 (прежняя аббревиатура - Ех ДВГ102 N исп.300 с магнитом М-100 )")</f>
        <v>Ех ДВГ102 N 322 М137 
 1Ex d IIC T6 Gb /РB Ex d I Mb 
 (прежняя аббревиатура - Ех ДВГ102 N исп.300 с магнитом М-100 )</v>
      </c>
      <c r="B459" s="6" t="str">
        <f ca="1">IFERROR(__xludf.DUMMYFUNCTION("""COMPUTED_VALUE"""),"корпус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35 мм , Uкомут. – 0,02-27 В, Iкоммут. -0.01-0.25 А, Pкоммут. не более 10 Вт IP66/IP67</v>
      </c>
      <c r="C459" s="9">
        <f ca="1">IFERROR(__xludf.DUMMYFUNCTION("""COMPUTED_VALUE"""),13389.937)</f>
        <v>13389.937</v>
      </c>
      <c r="D459" s="6"/>
      <c r="E459" s="8"/>
    </row>
    <row r="460" spans="1:5" ht="76.5">
      <c r="A460" s="5" t="str">
        <f ca="1">IFERROR(__xludf.DUMMYFUNCTION("""COMPUTED_VALUE"""),"Ех ДВГ102 N 122 М136
 1Ex d IIC T6 Gb / РB Ex d I Mb
 (прежняя аббревиатура - Ех ДВГ102 N исп.200 с магнитом М-200 )")</f>
        <v>Ех ДВГ102 N 122 М136
 1Ex d IIC T6 Gb / РB Ex d I Mb
 (прежняя аббревиатура - Ех ДВГ102 N исп.200 с магнитом М-200 )</v>
      </c>
      <c r="B460" s="6" t="str">
        <f ca="1">IFERROR(__xludf.DUMMYFUNCTION("""COMPUTED_VALUE"""),"корпус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f>
        <v>корпус - нержавеющая сталь 12Х18Н10Т, нормально-разомкнутый геркон, сменный кабельный ввод с резьбой М25, тип штуцера - выбрать. раст. сраб. 50 мм , Uкомут. – 0,02-27 В, Iкоммут. -0.01-0.25 А, Pкоммут. не более 10 Вт IP66/IP67</v>
      </c>
      <c r="C460" s="9">
        <f ca="1">IFERROR(__xludf.DUMMYFUNCTION("""COMPUTED_VALUE"""),9901.65)</f>
        <v>9901.65</v>
      </c>
      <c r="D460" s="6"/>
      <c r="E460" s="8"/>
    </row>
    <row r="461" spans="1:5" ht="76.5">
      <c r="A461" s="5" t="str">
        <f ca="1">IFERROR(__xludf.DUMMYFUNCTION("""COMPUTED_VALUE"""),"Ех ДВГ102 N 222 М136
 1Ex d IIC T6 Gb / РB Ex d I Mb
 (прежняя аббревиатура - Ех ДВГ102 N исп.250 с магнитом М-200 )")</f>
        <v>Ех ДВГ102 N 222 М136
 1Ex d IIC T6 Gb / РB Ex d I Mb
 (прежняя аббревиатура - Ех ДВГ102 N исп.250 с магнитом М-200 )</v>
      </c>
      <c r="B461" s="6" t="str">
        <f ca="1">IFERROR(__xludf.DUMMYFUNCTION("""COMPUTED_VALUE"""),"корпус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нормально-замкнутый геркон, сменный кабельный ввод с резьбой М25, тип штуцера - выбрать. раст. сраб. 30 мм , Uкомут. – 0,02-27 В, Iкоммут. -0.01-0.25 А, Pкоммут. не более 10 Вт IP66/IP67</v>
      </c>
      <c r="C461" s="9">
        <f ca="1">IFERROR(__xludf.DUMMYFUNCTION("""COMPUTED_VALUE"""),10101.487)</f>
        <v>10101.486999999999</v>
      </c>
      <c r="D461" s="6"/>
      <c r="E461" s="8"/>
    </row>
    <row r="462" spans="1:5" ht="76.5">
      <c r="A462" s="5" t="str">
        <f ca="1">IFERROR(__xludf.DUMMYFUNCTION("""COMPUTED_VALUE"""),"Ех ДВГ102 N 322 М136
 1Ex d IIC T6 Gb / РB Ex d I Mb
 (прежняя аббревиатура - Ех ДВГ102 N исп.300 с магнитом М-200 )")</f>
        <v>Ех ДВГ102 N 322 М136
 1Ex d IIC T6 Gb / РB Ex d I Mb
 (прежняя аббревиатура - Ех ДВГ102 N исп.300 с магнитом М-200 )</v>
      </c>
      <c r="B462" s="6" t="str">
        <f ca="1">IFERROR(__xludf.DUMMYFUNCTION("""COMPUTED_VALUE"""),"корпус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f>
        <v>корпус - нержавеющая сталь 12Х18Н10Т, переключающий геркон, сменный кабельный ввод с резьбой М25, тип штуцера - выбрать. раст. сраб. 30 мм , Uкомут. – 0,02-27 В, Iкоммут. -0.01-0.25 А, Pкоммут. не более 10 Вт IP66/IP67</v>
      </c>
      <c r="C462" s="9">
        <f ca="1">IFERROR(__xludf.DUMMYFUNCTION("""COMPUTED_VALUE"""),10101.487)</f>
        <v>10101.486999999999</v>
      </c>
      <c r="D462" s="6"/>
      <c r="E462" s="8"/>
    </row>
    <row r="463" spans="1:5" ht="102">
      <c r="A463" s="5" t="str">
        <f ca="1">IFERROR(__xludf.DUMMYFUNCTION("""COMPUTED_VALUE"""),"Ех ДВГ102 N 122 вывод м/р РЗЦ8 М137 
 1Ex d IIC T6 Gb /РB Ex d I Mb
 (прежняя аббревиатураЕх ДВГ102 N исп.200 с магнитом М-100, с постоянно присоединенным кабелем в металлорукаве)")</f>
        <v>Ех ДВГ102 N 122 вывод м/р РЗЦ8 М137 
 1Ex d IIC T6 Gb /РB Ex d I Mb
 (прежняя аббревиатураЕх ДВГ102 N исп.200 с магнитом М-100, с постоянно присоединенным кабелем в металлорукаве)</v>
      </c>
      <c r="B463"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боле"&amp;"е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55 мм , Uкомут. – 0,02-27 В, Iкоммут. -0.01-0.25 А, Pкоммут. не более 10 Вт IP66/IP67</v>
      </c>
      <c r="C463" s="9">
        <f ca="1">IFERROR(__xludf.DUMMYFUNCTION("""COMPUTED_VALUE"""),10900.89)</f>
        <v>10900.89</v>
      </c>
      <c r="D463" s="6"/>
      <c r="E463" s="8"/>
    </row>
    <row r="464" spans="1:5" ht="102">
      <c r="A464" s="5" t="str">
        <f ca="1">IFERROR(__xludf.DUMMYFUNCTION("""COMPUTED_VALUE"""),"Ех ДВГ102 N 222 вывод м/р РЗЦ8 М137 
 1Ex d IIC T6 Gb /РB Ex d I Mb
 (прежняя аббревиатураЕх ДВГ102 N исп.250 с магнитом М-100, с постоянно присоединенным кабелем в металлорукаве)")</f>
        <v>Ех ДВГ102 N 222 вывод м/р РЗЦ8 М137 
 1Ex d IIC T6 Gb /РB Ex d I Mb
 (прежняя аббревиатураЕх ДВГ102 N исп.250 с магнитом М-100, с постоянно присоединенным кабелем в металлорукаве)</v>
      </c>
      <c r="B464"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более"&amp;" 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35 мм , Uкомут. – 0,02-27 В, Iкоммут. -0.01-0.25 А, Pкоммут. не более 10 Вт IP66/IP67</v>
      </c>
      <c r="C464" s="9">
        <f ca="1">IFERROR(__xludf.DUMMYFUNCTION("""COMPUTED_VALUE"""),11209.759)</f>
        <v>11209.759</v>
      </c>
      <c r="D464" s="6"/>
      <c r="E464" s="8"/>
    </row>
    <row r="465" spans="1:5" ht="102">
      <c r="A465" s="5" t="str">
        <f ca="1">IFERROR(__xludf.DUMMYFUNCTION("""COMPUTED_VALUE"""),"Ех ДВГ102 N 322 вывод м/р РЗЦ8 М137 
 1Ex d IIC T6 Gb /РB Ex d I Mb
 (прежняя аббревиатура Ех ДВГ102 N исп.300 с магнитом М-100, с постоянно присоединенным кабелем в металлорукаве)")</f>
        <v>Ех ДВГ102 N 322 вывод м/р РЗЦ8 М137 
 1Ex d IIC T6 Gb /РB Ex d I Mb
 (прежняя аббревиатура Ех ДВГ102 N исп.300 с магнитом М-100, с постоянно присоединенным кабелем в металлорукаве)</v>
      </c>
      <c r="B465"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Вт"&amp;" 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35 мм , Uкомут. – 0,02-27 В, Iкоммут. -0.01-0.25 А, Pкоммут. не более 10 Вт IP66/IP67</v>
      </c>
      <c r="C465" s="9">
        <f ca="1">IFERROR(__xludf.DUMMYFUNCTION("""COMPUTED_VALUE"""),11209.759)</f>
        <v>11209.759</v>
      </c>
      <c r="D465" s="6"/>
      <c r="E465" s="8"/>
    </row>
    <row r="466" spans="1:5" ht="102">
      <c r="A466" s="5" t="str">
        <f ca="1">IFERROR(__xludf.DUMMYFUNCTION("""COMPUTED_VALUE"""),"Ех ДВГ102 N 122 вывод м/р РЗЦ8 М136
 1Ex d IIC T6 Gb /РB Ex d I Mb
 (прежняя аббревиатура Ех ДВГ102 N исп.200 с магнитом М-200, с постоянно присоединенным кабелем в металлорукаве)")</f>
        <v>Ех ДВГ102 N 122 вывод м/р РЗЦ8 М136
 1Ex d IIC T6 Gb /РB Ex d I Mb
 (прежняя аббревиатура Ех ДВГ102 N исп.200 с магнитом М-200, с постоянно присоединенным кабелем в металлорукаве)</v>
      </c>
      <c r="B466"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50 мм , Uкомут. – 0,02-27 В, Iкоммут. -0.01-0.25 А, Pкоммут. не более 10 Вт IP66/IP67</v>
      </c>
      <c r="C466" s="9">
        <f ca="1">IFERROR(__xludf.DUMMYFUNCTION("""COMPUTED_VALUE"""),7775.966)</f>
        <v>7775.9660000000003</v>
      </c>
      <c r="D466" s="6"/>
      <c r="E466" s="8"/>
    </row>
    <row r="467" spans="1:5" ht="102">
      <c r="A467" s="5" t="str">
        <f ca="1">IFERROR(__xludf.DUMMYFUNCTION("""COMPUTED_VALUE"""),"Ех ДВГ102 N 222 вывод м/р РЗЦ8 М136
 1Ex d IIC T6 Gb /РB Ex d I Mb
 (прежняя аббревиатура Ех ДВГ102 N исп.250 с магнитом М-200, с постоянно присоединенным кабелем в металлорукаве)")</f>
        <v>Ех ДВГ102 N 222 вывод м/р РЗЦ8 М136
 1Ex d IIC T6 Gb /РB Ex d I Mb
 (прежняя аббревиатура Ех ДВГ102 N исп.250 с магнитом М-200, с постоянно присоединенным кабелем в металлорукаве)</v>
      </c>
      <c r="B467"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"&amp;"10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30 мм , Uкомут. – 0,02-27 В, Iкоммут. -0.01-0.25 А, Pкоммут. не более 10 Вт IP66/IP67</v>
      </c>
      <c r="C467" s="9">
        <f ca="1">IFERROR(__xludf.DUMMYFUNCTION("""COMPUTED_VALUE"""),8048.502)</f>
        <v>8048.5020000000004</v>
      </c>
      <c r="D467" s="6"/>
      <c r="E467" s="8"/>
    </row>
    <row r="468" spans="1:5" ht="102">
      <c r="A468" s="5" t="str">
        <f ca="1">IFERROR(__xludf.DUMMYFUNCTION("""COMPUTED_VALUE"""),"Ех ДВГ102 N 322 вывод м/р РЗЦ8 М136 
 1Ex d IIC T6 Gb /РB Ex d I Mb
 (прежняя аббревиатура Ех ДВГ102 N исп.300 с магнитом М-200, с постоянно присоединенным кабелем в металлорукаве)")</f>
        <v>Ех ДВГ102 N 322 вывод м/р РЗЦ8 М136 
 1Ex d IIC T6 Gb /РB Ex d I Mb
 (прежняя аббревиатура Ех ДВГ102 N исп.300 с магнитом М-200, с постоянно присоединенным кабелем в металлорукаве)</v>
      </c>
      <c r="B468"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"&amp;"IP66/IP67")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30 мм , Uкомут. – 0,02-27 В, Iкоммут. -0.01-0.25 А, Pкоммут. не более 10 Вт IP66/IP67</v>
      </c>
      <c r="C468" s="9">
        <f ca="1">IFERROR(__xludf.DUMMYFUNCTION("""COMPUTED_VALUE"""),8048.502)</f>
        <v>8048.5020000000004</v>
      </c>
      <c r="D468" s="6"/>
      <c r="E468" s="8"/>
    </row>
    <row r="469" spans="1:5" ht="102">
      <c r="A469" s="5" t="str">
        <f ca="1">IFERROR(__xludf.DUMMYFUNCTION("""COMPUTED_VALUE"""),"Ех ДВГ102 N 111 вывод м/р РЗЦ8 М214
 1Ex d IIC T6 Gb /РB Ex d I Mb
 (прежняя аббревиатура Ех ДВГ102 N исп.211 (торцевой), с постоянно присоединенным кабелем)")</f>
        <v>Ех ДВГ102 N 111 вывод м/р РЗЦ8 М214
 1Ex d IIC T6 Gb /РB Ex d I Mb
 (прежняя аббревиатура Ех ДВГ102 N исп.211 (торцевой), с постоянно присоединенным кабелем)</v>
      </c>
      <c r="B469" s="6" t="str">
        <f ca="1">IFERROR(__xludf.DUMMYFUNCTION("""COMPUTED_VALUE"""),"корпус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бол"&amp;"ее 10 Вт IP66/IP67")</f>
        <v>корпус - нержавеющая сталь 12Х18Н10Т, нормально-разомкнутый геркон, присоединенный кабель в металлорукаве (штатно кабель 2х0,75 - 1м, конечная длина и бронекабель по запросу). раст. сраб. 12 мм , Uкомут. – 0,02-27 В, Iкоммут. -0.01-0.25 А, Pкоммут. не более 10 Вт IP66/IP67</v>
      </c>
      <c r="C469" s="9">
        <f ca="1">IFERROR(__xludf.DUMMYFUNCTION("""COMPUTED_VALUE"""),4542.043)</f>
        <v>4542.0429999999997</v>
      </c>
      <c r="D469" s="6"/>
      <c r="E469" s="8"/>
    </row>
    <row r="470" spans="1:5" ht="102">
      <c r="A470" s="5" t="str">
        <f ca="1">IFERROR(__xludf.DUMMYFUNCTION("""COMPUTED_VALUE"""),"Ех ДВГ102 N 211 вывод м/р РЗЦ8 М214
 1Ex d IIC T6 Gb /РB Ex d I Mb
 (прежняя аббревиатура Ех ДВГ102 N исп.251 (торцевой), с постоянно присоединенным кабелем)")</f>
        <v>Ех ДВГ102 N 211 вывод м/р РЗЦ8 М214
 1Ex d IIC T6 Gb /РB Ex d I Mb
 (прежняя аббревиатура Ех ДВГ102 N исп.251 (торцевой), с постоянно присоединенным кабелем)</v>
      </c>
      <c r="B470" s="6" t="str">
        <f ca="1">IFERROR(__xludf.DUMMYFUNCTION("""COMPUTED_VALUE"""),"корпус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1"&amp;"0 Вт IP66/IP67")</f>
        <v>корпус - нержавеющая сталь 12Х18Н10Т, нормально-замкнутый геркон, присоединенный кабель в металлорукаве (штатно кабель 2х0,75 - 1м, конечная длина и бронекабель по запросу) раст. сраб. 9 мм , Uкомут. – 0,02-27 В, Iкоммут. -0.01-0.25 А, Pкоммут. не более 10 Вт IP66/IP67</v>
      </c>
      <c r="C470" s="9">
        <f ca="1">IFERROR(__xludf.DUMMYFUNCTION("""COMPUTED_VALUE"""),4850.901)</f>
        <v>4850.9009999999998</v>
      </c>
      <c r="D470" s="6"/>
      <c r="E470" s="8"/>
    </row>
    <row r="471" spans="1:5" ht="102">
      <c r="A471" s="5" t="str">
        <f ca="1">IFERROR(__xludf.DUMMYFUNCTION("""COMPUTED_VALUE"""),"Ех ДВГ102 N 311 вывод м/р РЗЦ8 М214
 1Ex d IIC T6 Gb /РB Ex d I Mb
 (прежняя аббревиатура Ех ДВГ102 N исп.201 (торцевой), с постоянно присоединенным кабелем)")</f>
        <v>Ех ДВГ102 N 311 вывод м/р РЗЦ8 М214
 1Ex d IIC T6 Gb /РB Ex d I Mb
 (прежняя аббревиатура Ех ДВГ102 N исп.201 (торцевой), с постоянно присоединенным кабелем)</v>
      </c>
      <c r="B471" s="6" t="str">
        <f ca="1">IFERROR(__xludf.DUMMYFUNCTION("""COMPUTED_VALUE"""),"корпус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I"&amp;"P66/IP67")</f>
        <v>корпус - нержавеющая сталь 12Х18Н10Т, переключающий геркон, присоединенный кабель в металлорукаве (штатно кабель 3х0,75 - 1м, конечная длина и бронекабель по запросу) раст. сраб. 9 мм , Uкомут. – 0,02-27 В, Iкоммут. -0.01-0.25 А, Pкоммут. не более 10 Вт IP66/IP67</v>
      </c>
      <c r="C471" s="9">
        <f ca="1">IFERROR(__xludf.DUMMYFUNCTION("""COMPUTED_VALUE"""),4850.901)</f>
        <v>4850.9009999999998</v>
      </c>
      <c r="D471" s="6"/>
      <c r="E471" s="8"/>
    </row>
    <row r="472" spans="1:5" ht="76.5">
      <c r="A472" s="5" t="str">
        <f ca="1">IFERROR(__xludf.DUMMYFUNCTION("""COMPUTED_VALUE"""),"Ех ДВГ102 Al 122 М137
 1Ex d IIC T6 Gb / РB Ex d I Mb
 (прежняя аббревиатура - Ех ДВГ102 Al исп.200 с магнитом М-100)")</f>
        <v>Ех ДВГ102 Al 122 М137
 1Ex d IIC T6 Gb / РB Ex d I Mb
 (прежняя аббревиатура - Ех ДВГ102 Al исп.200 с магнитом М-100)</v>
      </c>
      <c r="B472" s="6" t="str">
        <f ca="1">IFERROR(__xludf.DUMMYFUNCTION("""COMPUTED_VALUE"""),"корпус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f>
        <v>корпус - алюминиевый сплав Д16Т, нормально разомкнутый геркон, сменный кабельный ввод с резьбой М25, тип штуцера - выбрать. раст. сраб. 55 мм , Uкомут. – 0,02-60 В, Iкоммут. -0.01-0.25 А, Pкоммут. не более 10 Вт IP66/IP67</v>
      </c>
      <c r="C472" s="9">
        <f ca="1">IFERROR(__xludf.DUMMYFUNCTION("""COMPUTED_VALUE"""),12299.848)</f>
        <v>12299.848</v>
      </c>
      <c r="D472" s="6"/>
      <c r="E472" s="8"/>
    </row>
    <row r="473" spans="1:5" ht="76.5">
      <c r="A473" s="5" t="str">
        <f ca="1">IFERROR(__xludf.DUMMYFUNCTION("""COMPUTED_VALUE"""),"Ех ДВГ102 Al 222 М137
 1Ex d IIC T6 Gb / РB Ex d I Mb
 (прежняя аббревиатура - Ех ДВГ102 Al исп.250 с магнитом М-100)")</f>
        <v>Ех ДВГ102 Al 222 М137
 1Ex d IIC T6 Gb / РB Ex d I Mb
 (прежняя аббревиатура - Ех ДВГ102 Al исп.250 с магнитом М-100)</v>
      </c>
      <c r="B473"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35 мм , Uкомут. – 0,02-60 В, Iкоммут. -0.01-0.25 А, Pкоммут. не более 10 Вт. IP66/IP67</v>
      </c>
      <c r="C473" s="9">
        <f ca="1">IFERROR(__xludf.DUMMYFUNCTION("""COMPUTED_VALUE"""),12626.867)</f>
        <v>12626.867</v>
      </c>
      <c r="D473" s="6"/>
      <c r="E473" s="8"/>
    </row>
    <row r="474" spans="1:5" ht="76.5">
      <c r="A474" s="5" t="str">
        <f ca="1">IFERROR(__xludf.DUMMYFUNCTION("""COMPUTED_VALUE"""),"Ех ДВГ102 Al 322 М137
 1Ex d IIC T6 Gb / РB Ex d I Mb
 (прежняя аббревиатура - Ех ДВГ102 Al исп.300 с магнитом М-100)")</f>
        <v>Ех ДВГ102 Al 322 М137
 1Ex d IIC T6 Gb / РB Ex d I Mb
 (прежняя аббревиатура - Ех ДВГ102 Al исп.300 с магнитом М-100)</v>
      </c>
      <c r="B474" s="6" t="str">
        <f ca="1">IFERROR(__xludf.DUMMYFUNCTION("""COMPUTED_VALUE"""),"корпус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35 мм , Uкомут. – 0,02-60 В, Iкоммут. -0.01-0.25 А, Pкоммут. не более 10 Вт. IP66/IP67</v>
      </c>
      <c r="C474" s="9">
        <f ca="1">IFERROR(__xludf.DUMMYFUNCTION("""COMPUTED_VALUE"""),12626.867)</f>
        <v>12626.867</v>
      </c>
      <c r="D474" s="6"/>
      <c r="E474" s="8"/>
    </row>
    <row r="475" spans="1:5" ht="89.25">
      <c r="A475" s="5" t="str">
        <f ca="1">IFERROR(__xludf.DUMMYFUNCTION("""COMPUTED_VALUE"""),"Ех ДВГ102 Al 122 М136
 1Ex d IIC T6 Gb / РB Ex d I Mb
 (прежняя аббревиатура - Ех ДВГ102 Al исп.200 с магнитом М-200)")</f>
        <v>Ех ДВГ102 Al 122 М136
 1Ex d IIC T6 Gb / РB Ex d I Mb
 (прежняя аббревиатура - Ех ДВГ102 Al исп.200 с магнитом М-200)</v>
      </c>
      <c r="B475" s="6" t="str">
        <f ca="1">IFERROR(__xludf.DUMMYFUNCTION("""COMPUTED_VALUE"""),"корпус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f>
        <v>корпус - алюминиевый сплав Д16Т, нормально разомкнутый геркон, сменный кабельный ввод с резьбой М25, тип штуцера - выбрать. IP66/IP67, раст. сраб. 50 мм , Uкомут. – 0,02-60 В, Iкоммут. -0.01-0.25 А, Pкоммут. не более 10 Вт.</v>
      </c>
      <c r="C475" s="9">
        <f ca="1">IFERROR(__xludf.DUMMYFUNCTION("""COMPUTED_VALUE"""),9120.408)</f>
        <v>9120.4079999999994</v>
      </c>
      <c r="D475" s="6"/>
      <c r="E475" s="8"/>
    </row>
    <row r="476" spans="1:5" ht="76.5">
      <c r="A476" s="5" t="str">
        <f ca="1">IFERROR(__xludf.DUMMYFUNCTION("""COMPUTED_VALUE"""),"Ех ДВГ102 Al 222 М136
 1Ex d IIC T6 Gb / РB Ex d I Mb
 (прежняя аббревиатура - Ех ДВГ102 Al исп.250 с магнитом М-200)")</f>
        <v>Ех ДВГ102 Al 222 М136
 1Ex d IIC T6 Gb / РB Ex d I Mb
 (прежняя аббревиатура - Ех ДВГ102 Al исп.250 с магнитом М-200)</v>
      </c>
      <c r="B476" s="6" t="str">
        <f ca="1">IFERROR(__xludf.DUMMYFUNCTION("""COMPUTED_VALUE"""),"корпус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нормально-замкнутый геркон, сменный кабельный ввод с резьбой М25, тип штуцера - выбрать.. Раст. сраб. 30 мм , Uкомут. – 0,02-60 В, Iкоммут. -0.01-0.25 А, Pкоммут. не более 10 Вт. IP66/IP67</v>
      </c>
      <c r="C476" s="9">
        <f ca="1">IFERROR(__xludf.DUMMYFUNCTION("""COMPUTED_VALUE"""),9320.267)</f>
        <v>9320.2669999999998</v>
      </c>
      <c r="D476" s="6"/>
      <c r="E476" s="8"/>
    </row>
    <row r="477" spans="1:5" ht="76.5">
      <c r="A477" s="5" t="str">
        <f ca="1">IFERROR(__xludf.DUMMYFUNCTION("""COMPUTED_VALUE"""),"Ех ДВГ102 Al 322 М136
 1Ex d IIC T6 Gb / РB Ex d I Mb
 (прежняя аббревиатура - Ех ДВГ102 Al исп.300 с магнитом М-100)")</f>
        <v>Ех ДВГ102 Al 322 М136
 1Ex d IIC T6 Gb / РB Ex d I Mb
 (прежняя аббревиатура - Ех ДВГ102 Al исп.300 с магнитом М-100)</v>
      </c>
      <c r="B477" s="6" t="str">
        <f ca="1">IFERROR(__xludf.DUMMYFUNCTION("""COMPUTED_VALUE"""),"корпус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f>
        <v>корпус - алюминиевый сплав Д16Т, переключающий геркон, сменный кабельный ввод с резьбой М25, тип штуцера - выбрать.. Раст. сраб. 30 мм , Uкомут. – 0,02-60 В, Iкоммут. -0.01-0.25 А, Pкоммут. не более 10 Вт. IP66/IP67</v>
      </c>
      <c r="C477" s="9">
        <f ca="1">IFERROR(__xludf.DUMMYFUNCTION("""COMPUTED_VALUE"""),9320.267)</f>
        <v>9320.2669999999998</v>
      </c>
      <c r="D477" s="6"/>
      <c r="E477" s="8"/>
    </row>
    <row r="478" spans="1:5" ht="102">
      <c r="A478" s="5" t="str">
        <f ca="1">IFERROR(__xludf.DUMMYFUNCTION("""COMPUTED_VALUE"""),"Ех ДВГ102 Al 122 вывод м/р РЗЦ8 М137 
 1Ex d IIC T6 Gb /РB Ex d I Mb
 (прежняя аббревиатура Ех ДВГ102 Al исп.200, с магнитом М-100, с постоянно присоединенным кабелем в металлорукаве)")</f>
        <v>Ех ДВГ102 Al 122 вывод м/р РЗЦ8 М137 
 1Ex d IIC T6 Gb /РB Ex d I Mb
 (прежняя аббревиатура Ех ДВГ102 Al исп.200, с магнитом М-100, с постоянно присоединенным кабелем в металлорукаве)</v>
      </c>
      <c r="B478"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78" s="9">
        <f ca="1">IFERROR(__xludf.DUMMYFUNCTION("""COMPUTED_VALUE"""),10083.326)</f>
        <v>10083.325999999999</v>
      </c>
      <c r="D478" s="6"/>
      <c r="E478" s="8"/>
    </row>
    <row r="479" spans="1:5" ht="89.25">
      <c r="A479" s="5" t="str">
        <f ca="1">IFERROR(__xludf.DUMMYFUNCTION("""COMPUTED_VALUE"""),"Ех ДВГ102 Al 222 вывод м/р РЗЦ8 М137 
 1Ex d IIC T6 Gb /РB Ex d I Mb
 (прежняя аббревиатура Ех ДВГ102 Al исп.250, с магнитом М-100, с постоянно присоединенным кабелем в металлорукаве)")</f>
        <v>Ех ДВГ102 Al 222 вывод м/р РЗЦ8 М137 
 1Ex d IIC T6 Gb /РB Ex d I Mb
 (прежняя аббревиатура Ех ДВГ102 Al исп.250, с магнитом М-100, с постоянно присоединенным кабелем в металлорукаве)</v>
      </c>
      <c r="B479" s="6" t="str">
        <f ca="1">IFERROR(__xludf.DUMMYFUNCTION("""COMPUTED_VALUE"""),"корпус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3х0,75 - 1м, конечная длина и бронекабель по запросу) Раст. сраб. 30 мм , Uкомут. – 0,02-60 В, Iкоммут. -0.01-0.25 А, Pкоммут. не более 10 Вт. IP66/IP67</v>
      </c>
      <c r="C479" s="9">
        <f ca="1">IFERROR(__xludf.DUMMYFUNCTION("""COMPUTED_VALUE"""),10392.184)</f>
        <v>10392.183999999999</v>
      </c>
      <c r="D479" s="6"/>
      <c r="E479" s="8"/>
    </row>
    <row r="480" spans="1:5" ht="89.25">
      <c r="A480" s="5" t="str">
        <f ca="1">IFERROR(__xludf.DUMMYFUNCTION("""COMPUTED_VALUE"""),"Ех ДВГ102 Al 322 вывод м/р РЗЦ8 М137 
 1Ex d IIC T6 Gb /РB Ex d I Mb
 (прежняя аббревиатура Ех ДВГ102 Al исп.300, с магнитом М-100, с постоянно присоединенным кабелем в металлорукаве)")</f>
        <v>Ех ДВГ102 Al 322 вывод м/р РЗЦ8 М137 
 1Ex d IIC T6 Gb /РB Ex d I Mb
 (прежняя аббревиатура Ех ДВГ102 Al исп.300, с магнитом М-100, с постоянно присоединенным кабелем в металлорукаве)</v>
      </c>
      <c r="B480" s="6" t="str">
        <f ca="1">IFERROR(__xludf.DUMMYFUNCTION("""COMPUTED_VALUE"""),"корпус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2х0,75 - 1м, конечная длина и бронекабель по запросу) Раст. сраб. 30 мм , Uкомут. – 0,02-60 В, Iкоммут. -0.01-0.25 А, Pкоммут. не более 10 Вт. IP66/IP67</v>
      </c>
      <c r="C480" s="9">
        <f ca="1">IFERROR(__xludf.DUMMYFUNCTION("""COMPUTED_VALUE"""),10392.184)</f>
        <v>10392.183999999999</v>
      </c>
      <c r="D480" s="6"/>
      <c r="E480" s="8"/>
    </row>
    <row r="481" spans="1:5" ht="102">
      <c r="A481" s="5" t="str">
        <f ca="1">IFERROR(__xludf.DUMMYFUNCTION("""COMPUTED_VALUE"""),"Ех ДВГ102 Al 122 вывод м/р РЗЦ8 М136
 1Ex d IIC T6 Gb /РB Ex d I Mb
 (прежняя аббревиатура Ех ДВГ102 Al исп.200, с магнитом М-200, с постоянно присоединенным кабелем в металлорукаве)")</f>
        <v>Ех ДВГ102 Al 122 вывод м/р РЗЦ8 М136
 1Ex d IIC T6 Gb /РB Ex d I Mb
 (прежняя аббревиатура Ех ДВГ102 Al исп.200, с магнитом М-200, с постоянно присоединенным кабелем в металлорукаве)</v>
      </c>
      <c r="B481"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55 мм , Uкомут. – 0,02-60 В, Iкоммут. -0.01-0.25 А, Pкоммут. не более 10 Вт IP66/IP67</v>
      </c>
      <c r="C481" s="9">
        <f ca="1">IFERROR(__xludf.DUMMYFUNCTION("""COMPUTED_VALUE"""),6976.574)</f>
        <v>6976.5739999999996</v>
      </c>
      <c r="D481" s="6"/>
      <c r="E481" s="8"/>
    </row>
    <row r="482" spans="1:5" ht="89.25">
      <c r="A482" s="5" t="str">
        <f ca="1">IFERROR(__xludf.DUMMYFUNCTION("""COMPUTED_VALUE"""),"Ех ДВГ102 Al 222 вывод м/р РЗЦ8 М136
 1Ex d IIC T6 Gb /РB Ex d I Mb
 (прежняя аббревиатура Ех ДВГ102 Al исп.250, с магнитом М-200, с постоянно присоединенным кабелем в металлорукаве)")</f>
        <v>Ех ДВГ102 Al 222 вывод м/р РЗЦ8 М136
 1Ex d IIC T6 Gb /РB Ex d I Mb
 (прежняя аббревиатура Ех ДВГ102 Al исп.250, с магнитом М-200, с постоянно присоединенным кабелем в металлорукаве)</v>
      </c>
      <c r="B482"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30 мм , Uкомут. – 0,02-60 В, Iкоммут. -0.01-0.25 А, Pкоммут. не более 10 Вт. IP66/IP67</v>
      </c>
      <c r="C482" s="9">
        <f ca="1">IFERROR(__xludf.DUMMYFUNCTION("""COMPUTED_VALUE"""),7267.26)</f>
        <v>7267.26</v>
      </c>
      <c r="D482" s="6"/>
      <c r="E482" s="8"/>
    </row>
    <row r="483" spans="1:5" ht="89.25">
      <c r="A483" s="5" t="str">
        <f ca="1">IFERROR(__xludf.DUMMYFUNCTION("""COMPUTED_VALUE"""),"Ех ДВГ102 Al 322 вывод м/р РЗЦ8 М136
 1Ex d IIC T6 Gb /РB Ex d I Mb
 (прежняя аббревиатура Ех ДВГ102 Al исп.200, с магнитом М-300, с постоянно присоединенным кабелем в металлорукаве)")</f>
        <v>Ех ДВГ102 Al 322 вывод м/р РЗЦ8 М136
 1Ex d IIC T6 Gb /РB Ex d I Mb
 (прежняя аббревиатура Ех ДВГ102 Al исп.200, с магнитом М-300, с постоянно присоединенным кабелем в металлорукаве)</v>
      </c>
      <c r="B483"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30 мм , Uкомут. – 0,02-60 В, Iкоммут. -0.01-0.25 А, Pкоммут. не более 10 Вт. IP66/IP67</v>
      </c>
      <c r="C483" s="9">
        <f ca="1">IFERROR(__xludf.DUMMYFUNCTION("""COMPUTED_VALUE"""),7267.26)</f>
        <v>7267.26</v>
      </c>
      <c r="D483" s="6"/>
      <c r="E483" s="8"/>
    </row>
    <row r="484" spans="1:5" ht="102">
      <c r="A484" s="5" t="str">
        <f ca="1">IFERROR(__xludf.DUMMYFUNCTION("""COMPUTED_VALUE"""),"Ех ДВГ102 Al 111 вывод м/р РЗЦ8 М214
 1Ex d IIC T6 Gb /РB Ex d I Mb
 (прежняя аббревиатура Ех ДВГ102 Al исп.211 (торцевой), с постоянно присоединенным кабелем в металлорукаве)")</f>
        <v>Ех ДВГ102 Al 111 вывод м/р РЗЦ8 М214
 1Ex d IIC T6 Gb /РB Ex d I Mb
 (прежняя аббревиатура Ех ДВГ102 Al исп.211 (торцевой), с постоянно присоединенным кабелем в металлорукаве)</v>
      </c>
      <c r="B484" s="6" t="str">
        <f ca="1">IFERROR(__xludf.DUMMYFUNCTION("""COMPUTED_VALUE"""),"корпус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10"&amp;" Вт IP66/IP67")</f>
        <v>корпус - алюминиевый сплав Д16Т, нормально разомкнутый геркон, присоединенный кабель в металлорукаве (штатно кабель 2х0,75 - 1м, конечная длина и бронекабель по запросу). раст. сраб. 12 мм , Uкомут. – 0,02-60 В, Iкоммут. -0.01-0.25 А, Pкоммут. не более 10 Вт IP66/IP67</v>
      </c>
      <c r="C484" s="9">
        <f ca="1">IFERROR(__xludf.DUMMYFUNCTION("""COMPUTED_VALUE"""),4087.842)</f>
        <v>4087.8420000000001</v>
      </c>
      <c r="D484" s="6"/>
      <c r="E484" s="8"/>
    </row>
    <row r="485" spans="1:5" ht="89.25">
      <c r="A485" s="5" t="str">
        <f ca="1">IFERROR(__xludf.DUMMYFUNCTION("""COMPUTED_VALUE"""),"Ех ДВГ102 Al 211 вывод м/р РЗЦ8 М214
 1Ex d IIC T6 Gb /РB Ex d I Mb
 (прежняя аббревиатура Ех ДВГ102 Al исп.251 (торцевой), с постоянно присоединенным кабелем в металлорукаве)")</f>
        <v>Ех ДВГ102 Al 211 вывод м/р РЗЦ8 М214
 1Ex d IIC T6 Gb /РB Ex d I Mb
 (прежняя аббревиатура Ех ДВГ102 Al исп.251 (торцевой), с постоянно присоединенным кабелем в металлорукаве)</v>
      </c>
      <c r="B485" s="6" t="str">
        <f ca="1">IFERROR(__xludf.DUMMYFUNCTION("""COMPUTED_VALUE"""),"корпус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f>
        <v>корпус - алюминиевый сплав Д16Т, нормально-замкнутый геркон, (штатно кабель 2х0,75 - 1м, конечная длина и бронекабель по запросу) Раст. сраб. 9 мм , Uкомут. – 0,02-60 В, Iкоммут. -0.01-0.25 А, Pкоммут. не более 10 Вт. IP66/IP67</v>
      </c>
      <c r="C485" s="9">
        <f ca="1">IFERROR(__xludf.DUMMYFUNCTION("""COMPUTED_VALUE"""),4396.689)</f>
        <v>4396.6890000000003</v>
      </c>
      <c r="D485" s="6"/>
      <c r="E485" s="8"/>
    </row>
    <row r="486" spans="1:5" ht="89.25">
      <c r="A486" s="5" t="str">
        <f ca="1">IFERROR(__xludf.DUMMYFUNCTION("""COMPUTED_VALUE"""),"Ех ДВГ102 Al 311 вывод м/р РЗЦ8 М214
 1Ex d IIC T6 Gb /РB Ex d I Mb
 (прежняя аббревиатура Ех ДВГ102 Al исп.311 (торцевой), с постоянно присоединенным кабелем в металлорукаве)")</f>
        <v>Ех ДВГ102 Al 311 вывод м/р РЗЦ8 М214
 1Ex d IIC T6 Gb /РB Ex d I Mb
 (прежняя аббревиатура Ех ДВГ102 Al исп.311 (торцевой), с постоянно присоединенным кабелем в металлорукаве)</v>
      </c>
      <c r="B486" s="6" t="str">
        <f ca="1">IFERROR(__xludf.DUMMYFUNCTION("""COMPUTED_VALUE"""),"корпус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f>
        <v>корпус - алюминиевый сплав Д16Т, переключающий геркон, (штатно кабель 3х0,75 - 1м, конечная длина и бронекабель по запросу) Раст. сраб. 9 мм , Uкомут. – 0,02-60 В, Iкоммут. -0.01-0.25 А, Pкоммут. не более 10 Вт. IP66/IP67</v>
      </c>
      <c r="C486" s="9">
        <f ca="1">IFERROR(__xludf.DUMMYFUNCTION("""COMPUTED_VALUE"""),4396.689)</f>
        <v>4396.6890000000003</v>
      </c>
      <c r="D486" s="6"/>
      <c r="E486" s="8"/>
    </row>
    <row r="487" spans="1:5" ht="51">
      <c r="A487" s="5" t="str">
        <f ca="1">IFERROR(__xludf.DUMMYFUNCTION("""COMPUTED_VALUE"""),"Монтажная коробка ""МК+Видео"" Белая")</f>
        <v>Монтажная коробка "МК+Видео" Белая</v>
      </c>
      <c r="B487" s="6" t="str">
        <f ca="1">IFERROR(__xludf.DUMMYFUNCTION("""COMPUTED_VALUE"""),"IP66, предназначена для наружной установки камер видеонаблюдения, накладная. 130х130х50, материал пластик (белый)")</f>
        <v>IP66, предназначена для наружной установки камер видеонаблюдения, накладная. 130х130х50, материал пластик (белый)</v>
      </c>
      <c r="C487" s="9">
        <f ca="1">IFERROR(__xludf.DUMMYFUNCTION("""COMPUTED_VALUE"""),277.2)</f>
        <v>277.2</v>
      </c>
      <c r="D487" s="6"/>
      <c r="E487" s="8"/>
    </row>
    <row r="488" spans="1:5" ht="51">
      <c r="A488" s="5" t="str">
        <f ca="1">IFERROR(__xludf.DUMMYFUNCTION("""COMPUTED_VALUE"""),"Монтажная коробка ""МК+Видео"" Черная")</f>
        <v>Монтажная коробка "МК+Видео" Черная</v>
      </c>
      <c r="B488" s="6" t="str">
        <f ca="1">IFERROR(__xludf.DUMMYFUNCTION("""COMPUTED_VALUE"""),"IP66, предназначена для наружной установки камер видеонаблюдения, накладная. 130х130х50, материал пластик (черный)")</f>
        <v>IP66, предназначена для наружной установки камер видеонаблюдения, накладная. 130х130х50, материал пластик (черный)</v>
      </c>
      <c r="C488" s="9">
        <f ca="1">IFERROR(__xludf.DUMMYFUNCTION("""COMPUTED_VALUE"""),290.85)</f>
        <v>290.85000000000002</v>
      </c>
      <c r="D488" s="6"/>
      <c r="E488" s="8"/>
    </row>
    <row r="489" spans="1:5" ht="76.5">
      <c r="A489" s="5" t="str">
        <f ca="1">IFERROR(__xludf.DUMMYFUNCTION("""COMPUTED_VALUE"""),"Монтажная коробка ""МК+Видео"" Белая с гермовводом ")</f>
        <v xml:space="preserve">Монтажная коробка "МК+Видео" Белая с гермовводом </v>
      </c>
      <c r="B489" s="6" t="str">
        <f ca="1">IFERROR(__xludf.DUMMYFUNCTION("""COMPUTED_VALUE"""),"IP66, предназначена для наружной установки камер видеонаблюдения, накладная, с гермовводом (для подключении кабеля диаметром 6-12 мм). 130х130х50, материал пластик (белый)")</f>
        <v>IP66, предназначена для наружной установки камер видеонаблюдения, накладная, с гермовводом (для подключении кабеля диаметром 6-12 мм). 130х130х50, материал пластик (белый)</v>
      </c>
      <c r="C489" s="9">
        <f ca="1">IFERROR(__xludf.DUMMYFUNCTION("""COMPUTED_VALUE"""),334.95)</f>
        <v>334.95</v>
      </c>
      <c r="D489" s="6"/>
      <c r="E489" s="8"/>
    </row>
    <row r="490" spans="1:5" ht="76.5">
      <c r="A490" s="5" t="str">
        <f ca="1">IFERROR(__xludf.DUMMYFUNCTION("""COMPUTED_VALUE"""),"Монтажная коробка ""МК+Видео"" Черная с гермовводом ")</f>
        <v xml:space="preserve">Монтажная коробка "МК+Видео" Черная с гермовводом </v>
      </c>
      <c r="B490" s="6" t="str">
        <f ca="1">IFERROR(__xludf.DUMMYFUNCTION("""COMPUTED_VALUE"""),"IP66, предназначена для наружной установки камер видеонаблюдения, накладная, с гермовводом (для подключении кабеля диаметром 6-12 мм). 130х130х50, материал пластик (черный)")</f>
        <v>IP66, предназначена для наружной установки камер видеонаблюдения, накладная, с гермовводом (для подключении кабеля диаметром 6-12 мм). 130х130х50, материал пластик (черный)</v>
      </c>
      <c r="C490" s="9">
        <f ca="1">IFERROR(__xludf.DUMMYFUNCTION("""COMPUTED_VALUE"""),358.05)</f>
        <v>358.05</v>
      </c>
      <c r="D490" s="6"/>
      <c r="E490" s="8"/>
    </row>
    <row r="491" spans="1:5" ht="51">
      <c r="A491" s="5" t="str">
        <f ca="1">IFERROR(__xludf.DUMMYFUNCTION("""COMPUTED_VALUE"""),"Монтажная коробка ""МК+Видео Люкс"", белая")</f>
        <v>Монтажная коробка "МК+Видео Люкс", белая</v>
      </c>
      <c r="B491" s="6" t="str">
        <f ca="1">IFERROR(__xludf.DUMMYFUNCTION("""COMPUTED_VALUE"""),"IP66, материал АБС-пластик, предназначена для наружной установки камер видеонаблюдения, накладная. 130х130х50")</f>
        <v>IP66, материал АБС-пластик, предназначена для наружной установки камер видеонаблюдения, накладная. 130х130х50</v>
      </c>
      <c r="C491" s="9">
        <f ca="1">IFERROR(__xludf.DUMMYFUNCTION("""COMPUTED_VALUE"""),349.23)</f>
        <v>349.23</v>
      </c>
      <c r="D491" s="6"/>
      <c r="E491" s="8"/>
    </row>
    <row r="492" spans="1:5" ht="51">
      <c r="A492" s="5" t="str">
        <f ca="1">IFERROR(__xludf.DUMMYFUNCTION("""COMPUTED_VALUE"""),"Монтажная коробка ""МК+Видео Люкс"", черная")</f>
        <v>Монтажная коробка "МК+Видео Люкс", черная</v>
      </c>
      <c r="B492" s="6" t="str">
        <f ca="1">IFERROR(__xludf.DUMMYFUNCTION("""COMPUTED_VALUE"""),"IP66, материал АБС-пластик, предназначена для наружной установки камер видеонаблюдения, накладная. 130х130х50")</f>
        <v>IP66, материал АБС-пластик, предназначена для наружной установки камер видеонаблюдения, накладная. 130х130х50</v>
      </c>
      <c r="C492" s="9">
        <f ca="1">IFERROR(__xludf.DUMMYFUNCTION("""COMPUTED_VALUE"""),362.25)</f>
        <v>362.25</v>
      </c>
      <c r="D492" s="6"/>
      <c r="E492" s="8"/>
    </row>
    <row r="493" spans="1:5" ht="63.75">
      <c r="A493" s="5" t="str">
        <f ca="1">IFERROR(__xludf.DUMMYFUNCTION("""COMPUTED_VALUE"""),"Монтажная коробка ""МК+Видео Люкс"", белая с гермовводом ")</f>
        <v xml:space="preserve">Монтажная коробка "МК+Видео Люкс", белая с гермовводом </v>
      </c>
      <c r="B493" s="6" t="str">
        <f ca="1">IFERROR(__xludf.DUMMYFUNCTION("""COMPUTED_VALUE"""),"IP66,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f>
        <v>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v>
      </c>
      <c r="C493" s="9">
        <f ca="1">IFERROR(__xludf.DUMMYFUNCTION("""COMPUTED_VALUE"""),427.35)</f>
        <v>427.35</v>
      </c>
      <c r="D493" s="6"/>
      <c r="E493" s="8"/>
    </row>
    <row r="494" spans="1:5" ht="63.75">
      <c r="A494" s="5" t="str">
        <f ca="1">IFERROR(__xludf.DUMMYFUNCTION("""COMPUTED_VALUE"""),"Монтажная коробка ""МК+Видео Люкс"", черная с гермовводом ")</f>
        <v xml:space="preserve">Монтажная коробка "МК+Видео Люкс", черная с гермовводом </v>
      </c>
      <c r="B494" s="6" t="str">
        <f ca="1">IFERROR(__xludf.DUMMYFUNCTION("""COMPUTED_VALUE"""),"IP66,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f>
        <v>IP66, материал АБС-пластик, предназначена для наружной установки камер видеонаблюдения, накладная,  с гермовводом (для подключении кабеля диаметром 6-14 мм). 130х130х50</v>
      </c>
      <c r="C494" s="9">
        <f ca="1">IFERROR(__xludf.DUMMYFUNCTION("""COMPUTED_VALUE"""),450.45)</f>
        <v>450.45</v>
      </c>
      <c r="D494" s="6"/>
      <c r="E494" s="8"/>
    </row>
    <row r="495" spans="1:5" ht="178.5">
      <c r="A495" s="5" t="str">
        <f ca="1">IFERROR(__xludf.DUMMYFUNCTION("""COMPUTED_VALUE"""),"Датчик герконовый ДГ-360 ПАШК.425119.145ПС")</f>
        <v>Датчик герконовый ДГ-360 ПАШК.425119.145ПС</v>
      </c>
      <c r="B495" s="6" t="str">
        <f ca="1">IFERROR(__xludf.DUMMYFUNCTION("""COMPUTED_VALUE"""),"Датчики герконовые ДГ-360 
 предназначены для контроля подвижных частей конструкций или механизмов на перемещение или смещение, с последующей выдачей сигнала о смещении на устройство контроля системы управления.
Состояния контактов геркона датчика, опред"&amp;"еляется в зависимости от расстояний между подвижной частью конструкции с установленным магнитом и датчиком. НР, вывод 3,5м, 62х41,6х19,42мм. IP66/IP68
")</f>
        <v xml:space="preserve">Датчики герконовые ДГ-360 
 предназначены для контроля подвижных частей конструкций или механизмов на перемещение или смещение, с последующей выдачей сигнала о смещении на устройство контроля системы управления.
Состояния контактов геркона датчика, определяется в зависимости от расстояний между подвижной частью конструкции с установленным магнитом и датчиком. НР, вывод 3,5м, 62х41,6х19,42мм. IP66/IP68
</v>
      </c>
      <c r="C495" s="9">
        <f ca="1">IFERROR(__xludf.DUMMYFUNCTION("""COMPUTED_VALUE"""),902)</f>
        <v>902</v>
      </c>
      <c r="D495" s="6"/>
      <c r="E495" s="8"/>
    </row>
    <row r="496" spans="1:5" ht="318.75">
      <c r="A496" s="5" t="str">
        <f ca="1">IFERROR(__xludf.DUMMYFUNCTION("""COMPUTED_VALUE"""),"DG DA исп.00 ПАШК.425119.157 ПС")</f>
        <v>DG DA исп.00 ПАШК.425119.157 ПС</v>
      </c>
      <c r="B496"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v>
      </c>
      <c r="C496" s="9">
        <f ca="1">IFERROR(__xludf.DUMMYFUNCTION("""COMPUTED_VALUE"""),915.49)</f>
        <v>915.49</v>
      </c>
      <c r="D496" s="6"/>
      <c r="E496" s="8"/>
    </row>
    <row r="497" spans="1:5" ht="318.75">
      <c r="A497" s="5" t="str">
        <f ca="1">IFERROR(__xludf.DUMMYFUNCTION("""COMPUTED_VALUE"""),"DG DA исп.01 ПАШК.425119.157 ПС")</f>
        <v>DG DA исп.01 ПАШК.425119.157 ПС</v>
      </c>
      <c r="B497"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v>
      </c>
      <c r="C497" s="9">
        <f ca="1">IFERROR(__xludf.DUMMYFUNCTION("""COMPUTED_VALUE"""),1211.21)</f>
        <v>1211.21</v>
      </c>
      <c r="D497" s="6"/>
      <c r="E497" s="8"/>
    </row>
    <row r="498" spans="1:5" ht="318.75">
      <c r="A498" s="5" t="str">
        <f ca="1">IFERROR(__xludf.DUMMYFUNCTION("""COMPUTED_VALUE"""),"DG DA исп.00М ПАШК.425119.157 ПС")</f>
        <v>DG DA исп.00М ПАШК.425119.157 ПС</v>
      </c>
      <c r="B498"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v>
      </c>
      <c r="C498" s="9">
        <f ca="1">IFERROR(__xludf.DUMMYFUNCTION("""COMPUTED_VALUE"""),1969.4)</f>
        <v>1969.4</v>
      </c>
      <c r="D498" s="6"/>
      <c r="E498" s="8"/>
    </row>
    <row r="499" spans="1:5" ht="318.75">
      <c r="A499" s="5" t="str">
        <f ca="1">IFERROR(__xludf.DUMMYFUNCTION("""COMPUTED_VALUE"""),"DG DA исп.01М ПАШК.425119.157 ПС")</f>
        <v>DG DA исп.01М ПАШК.425119.157 ПС</v>
      </c>
      <c r="B499"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v>
      </c>
      <c r="C499" s="9">
        <f ca="1">IFERROR(__xludf.DUMMYFUNCTION("""COMPUTED_VALUE"""),2081.08)</f>
        <v>2081.08</v>
      </c>
      <c r="D499" s="6"/>
      <c r="E499" s="8"/>
    </row>
    <row r="500" spans="1:5" ht="89.25">
      <c r="A500" s="5" t="str">
        <f ca="1">IFERROR(__xludf.DUMMYFUNCTION("""COMPUTED_VALUE"""),"DG DA исп.20 ПАШК.425119.157 ПС")</f>
        <v>DG DA исп.20 ПАШК.425119.157 ПС</v>
      </c>
      <c r="B500" s="6" t="str">
        <f ca="1">IFERROR(__xludf.DUMMYFUNCTION("""COMPUTED_VALUE"""),"НР,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f>
        <v>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v>
      </c>
      <c r="C500" s="9">
        <f ca="1">IFERROR(__xludf.DUMMYFUNCTION("""COMPUTED_VALUE"""),1278.85)</f>
        <v>1278.8499999999999</v>
      </c>
      <c r="D500" s="6"/>
      <c r="E500" s="8"/>
    </row>
    <row r="501" spans="1:5" ht="318.75">
      <c r="A501" s="5" t="str">
        <f ca="1">IFERROR(__xludf.DUMMYFUNCTION("""COMPUTED_VALUE"""),"DG DA исп.21 ПАШК.425119.157 ПС")</f>
        <v>DG DA исп.21 ПАШК.425119.157 ПС</v>
      </c>
      <c r="B501"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Переключающий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v>
      </c>
      <c r="C501" s="9">
        <f ca="1">IFERROR(__xludf.DUMMYFUNCTION("""COMPUTED_VALUE"""),1573)</f>
        <v>1573</v>
      </c>
      <c r="D501" s="6"/>
      <c r="E501" s="8"/>
    </row>
    <row r="502" spans="1:5" ht="318.75">
      <c r="A502" s="5" t="str">
        <f ca="1">IFERROR(__xludf.DUMMYFUNCTION("""COMPUTED_VALUE"""),"DG DA исп.20М ПАШК.425119.157 ПС")</f>
        <v>DG DA исп.20М ПАШК.425119.157 ПС</v>
      </c>
      <c r="B502"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НР, накладной на металл (магнитоактивный). Контакты замкнуты на расстоянии 25мм, разомкнуты на расстоянии 45мм
 Корпус из нержавеющей стали 12х18Н10Т с вибропоглощающим покрытием в стеклотканевой оболочке.</v>
      </c>
      <c r="C502" s="9">
        <f ca="1">IFERROR(__xludf.DUMMYFUNCTION("""COMPUTED_VALUE"""),2334.33)</f>
        <v>2334.33</v>
      </c>
      <c r="D502" s="6"/>
      <c r="E502" s="8"/>
    </row>
    <row r="503" spans="1:5" ht="318.75">
      <c r="A503" s="5" t="str">
        <f ca="1">IFERROR(__xludf.DUMMYFUNCTION("""COMPUTED_VALUE"""),"DG DA исп.21М ПАШК.425119.157 ПС")</f>
        <v>DG DA исп.21М ПАШК.425119.157 ПС</v>
      </c>
      <c r="B503" s="6" t="str">
        <f ca="1">IFERROR(__xludf.DUMMYFUNCTION("""COMPUTED_VALUE"""),"Датчик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сух"&amp;"ого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14"&amp;"254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f>
        <v>Датчик положения магнитогерконовый DG DA 
 предназначены для применения в системах автоматики различных устройств, в технике бытового, коммерческого, медицинского, научного и промышленного назначений и выдачи сигнала, путем размыкания или переключения сухого контакта геркона; а так же в системах охранной или охранно-пожарной сигнализаций с целью блокировки элементов конструкций из магнитопроводных и не магнитопроводных материалов. Конструктивное исполнение - двухблочный. Степень защиты оболочки по ГОСТ 14254 IP66/IP68
С адресной меткой. НЗ, накладной на металл (магнитоактивный). Контакты переключены на расстоянии 15мм, не переключены на расстоянии 20мм.Корпус из нержавеющей стали 12х18Н10Т с вибропоглощающим покрытием в стеклотканевой оболочке.</v>
      </c>
      <c r="C503" s="9">
        <f ca="1">IFERROR(__xludf.DUMMYFUNCTION("""COMPUTED_VALUE"""),2683.54)</f>
        <v>2683.54</v>
      </c>
      <c r="D503" s="6"/>
      <c r="E503" s="8"/>
    </row>
    <row r="504" spans="1:5" ht="89.25">
      <c r="A504" s="5" t="str">
        <f ca="1">IFERROR(__xludf.DUMMYFUNCTION("""COMPUTED_VALUE"""),"Кронштейн К-409")</f>
        <v>Кронштейн К-409</v>
      </c>
      <c r="B504" s="6" t="str">
        <f ca="1">IFERROR(__xludf.DUMMYFUNCTION("""COMPUTED_VALUE"""),"Кронштейн предназначен для крепления инфракрасного оптико-электронного извещателя ИО 409-20 «АЯКС»  (и других ИК-датчиков) к поверхности. Кронштейн обеспечивает поворот извещателя в горизонтальной плоскости на 120град,  вертикальной плоскости на 90град.")</f>
        <v>Кронштейн предназначен для крепления инфракрасного оптико-электронного извещателя ИО 409-20 «АЯКС»  (и других ИК-датчиков) к поверхности. Кронштейн обеспечивает поворот извещателя в горизонтальной плоскости на 120град,  вертикальной плоскости на 90град.</v>
      </c>
      <c r="C504" s="9">
        <f ca="1">IFERROR(__xludf.DUMMYFUNCTION("""COMPUTED_VALUE"""),48.4)</f>
        <v>48.4</v>
      </c>
      <c r="D504" s="6"/>
      <c r="E504" s="8"/>
    </row>
    <row r="505" spans="1:5" ht="409.5">
      <c r="A505" s="5" t="str">
        <f ca="1">IFERROR(__xludf.DUMMYFUNCTION("""COMPUTED_VALUE"""),"ИО 409-21 ""Аякс"" 
ТУ 4372-008-39153777-02")</f>
        <v>ИО 409-21 "Аякс" 
ТУ 4372-008-39153777-02</v>
      </c>
      <c r="B505"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Габаритные размеры 89.6 x 67.5 x 49.8 мм. "&amp;"IP41")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Габаритные размеры 89.6 x 67.5 x 49.8 мм. IP41</v>
      </c>
      <c r="C505" s="9">
        <f ca="1">IFERROR(__xludf.DUMMYFUNCTION("""COMPUTED_VALUE"""),742.5)</f>
        <v>742.5</v>
      </c>
      <c r="D505" s="6"/>
      <c r="E505" s="8"/>
    </row>
    <row r="506" spans="1:5" ht="409.5">
      <c r="A506" s="5" t="str">
        <f ca="1">IFERROR(__xludf.DUMMYFUNCTION("""COMPUTED_VALUE"""),"ИО 409-21-Т ""Аякс"" (с тампером) 
ТУ 4372-008-39153777-02")</f>
        <v>ИО 409-21-Т "Аякс" (с тампером) 
ТУ 4372-008-39153777-02</v>
      </c>
      <c r="B506"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 тампером на вскрытие с выводом контактов тампера на отдельный кл"&amp;"еммник.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 тампером на вскрытие с выводом контактов тампера на отдельный клеммник.
 Габаритные размеры 89.6 x 67.5 x 49.8 мм. IP41</v>
      </c>
      <c r="C506" s="9">
        <f ca="1">IFERROR(__xludf.DUMMYFUNCTION("""COMPUTED_VALUE"""),808.5)</f>
        <v>808.5</v>
      </c>
      <c r="D506" s="6"/>
      <c r="E506" s="8"/>
    </row>
    <row r="507" spans="1:5" ht="409.5">
      <c r="A507" s="5" t="str">
        <f ca="1">IFERROR(__xludf.DUMMYFUNCTION("""COMPUTED_VALUE"""),"ИО 409-21 ""Аякс"" исп.""Штора"" 
ТУ 4372-008-39153777-02")</f>
        <v>ИО 409-21 "Аякс" исп."Штора" 
ТУ 4372-008-39153777-02</v>
      </c>
      <c r="B507"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со сплошной зоной обнаружения типа ""занаве"&amp;"с"" (штора).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со сплошной зоной обнаружения типа "занавес" (штора). IP41</v>
      </c>
      <c r="C507" s="9">
        <f ca="1">IFERROR(__xludf.DUMMYFUNCTION("""COMPUTED_VALUE"""),781)</f>
        <v>781</v>
      </c>
      <c r="D507" s="6"/>
      <c r="E507" s="8"/>
    </row>
    <row r="508" spans="1:5" ht="409.5">
      <c r="A508" s="5" t="str">
        <f ca="1">IFERROR(__xludf.DUMMYFUNCTION("""COMPUTED_VALUE"""),"ИО 409-21-Т ""Аякс"" исп.""Штора"" (с тампером) 
ТУ 4372-008-39153777-02")</f>
        <v>ИО 409-21-Т "Аякс" исп."Штора" (с тампером) 
ТУ 4372-008-39153777-02</v>
      </c>
      <c r="B508"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со сплошной зоной обнаружения типа ""занавес"" (штора) с тампером "&amp;"на вскрытие.")</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со сплошной зоной обнаружения типа "занавес" (штора) с тампером на вскрытие.</v>
      </c>
      <c r="C508" s="9">
        <f ca="1">IFERROR(__xludf.DUMMYFUNCTION("""COMPUTED_VALUE"""),847)</f>
        <v>847</v>
      </c>
      <c r="D508" s="6"/>
      <c r="E508" s="8"/>
    </row>
    <row r="509" spans="1:5" ht="409.5">
      <c r="A509" s="5" t="str">
        <f ca="1">IFERROR(__xludf.DUMMYFUNCTION("""COMPUTED_VALUE"""),"ИО 409-21 ""Аякс"" исп. «Алабай» 
ТУ 4372-008-39153777-02")</f>
        <v>ИО 409-21 "Аякс" исп. «Алабай» 
ТУ 4372-008-39153777-02</v>
      </c>
      <c r="B509"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живот"&amp;"ных. Рекомендуется устанавливать в местах не досягаемых животными.)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животных. Рекомендуется устанавливать в местах не досягаемых животными.) Габаритные размеры 89.6 x 67.5 x 49.8 мм. IP41</v>
      </c>
      <c r="C509" s="9">
        <f ca="1">IFERROR(__xludf.DUMMYFUNCTION("""COMPUTED_VALUE"""),795.575)</f>
        <v>795.57500000000005</v>
      </c>
      <c r="D509" s="6"/>
      <c r="E509" s="8"/>
    </row>
    <row r="510" spans="1:5" ht="409.5">
      <c r="A510" s="5" t="str">
        <f ca="1">IFERROR(__xludf.DUMMYFUNCTION("""COMPUTED_VALUE"""),"ИО 409-21-Т ""Аякс"" исп.""Алабай"" (с тампером) 
ТУ 4372-008-39153777-02")</f>
        <v>ИО 409-21-Т "Аякс" исп."Алабай" (с тампером) 
ТУ 4372-008-39153777-02</v>
      </c>
      <c r="B510" s="6" t="str">
        <f ca="1">IFERROR(__xludf.DUMMYFUNCTION("""COMPUTED_VALUE"""),"Извещатели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измеря"&amp;"ет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извещатель"&amp;"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дом"&amp;"ашних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живот"&amp;"ных с тампером на вскрытие. Рекомендуется устанавливать в местах не досягаемых животными. Габаритные размеры 89.6 x 67.5 x 49.8 мм. IP41")</f>
        <v>Извещатели пассивные инфракрасные оптико-электронные ИО 409-21 "Аякс" 
 Извещатель выносит решение о вторжении при изменении в инфракрасной области энергетического спектра.
 - безвреден для людей и животных, так как сам не излучает волн, а только измеряет разницу температур в инфракрасном спектре. 
 - уменьшает ложные сигналы тревоги до беспрецедентно низкого уровня благодаря эффективному устранению фоновых шумов и помех
 - благодаря использованию специальных низкотемпературных комплектующих, извещатель имеет широкий диапазон рабочих температур (до -30°C) без ухудшения технических характеристик, а также высокую светозащищённость – до 10000 Лк
 Извещатель выпускается в трех исполнениях: ИО 409-21, ИО 409-21 исп. «Алабай» (с защитой от срабатываний на домашних животных весом до 40 кг и размером до 1 метра) и ИО 409-21 исп. «Штора» (со сплошной зоной обнаружения типа "занавес" (штора).
Извещатель пассивный инфракрасный оптико-электронный для закрытых помещений с защитой от срабатываний на домашних животных с тампером на вскрытие. Рекомендуется устанавливать в местах не досягаемых животными. Габаритные размеры 89.6 x 67.5 x 49.8 мм. IP41</v>
      </c>
      <c r="C510" s="9">
        <f ca="1">IFERROR(__xludf.DUMMYFUNCTION("""COMPUTED_VALUE"""),862.4)</f>
        <v>862.4</v>
      </c>
      <c r="D510" s="6"/>
      <c r="E510" s="8"/>
    </row>
    <row r="511" spans="1:5" ht="267.75">
      <c r="A511" s="5" t="str">
        <f ca="1">IFERROR(__xludf.DUMMYFUNCTION("""COMPUTED_VALUE"""),"Активный барьер АБИ (1 канал) ПАШК.426439.146 ТУ")</f>
        <v>Активный барьер АБИ (1 канал) ПАШК.426439.146 ТУ</v>
      </c>
      <c r="B511" s="6" t="str">
        <f ca="1">IFERROR(__xludf.DUMMYFUNCTION("""COMPUTED_VALUE"""),"Активный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конта"&amp;"ктами,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3"&amp;"1610.0-2014 (IEC 60079-0:2011). IP 54
обеспечение искробезопасности одного шлейфа")</f>
        <v>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31610.0-2014 (IEC 60079-0:2011). IP 54
обеспечение искробезопасности одного шлейфа</v>
      </c>
      <c r="C511" s="9">
        <f ca="1">IFERROR(__xludf.DUMMYFUNCTION("""COMPUTED_VALUE"""),2387)</f>
        <v>2387</v>
      </c>
      <c r="D511" s="6"/>
      <c r="E511" s="8"/>
    </row>
    <row r="512" spans="1:5" ht="293.25">
      <c r="A512" s="5" t="str">
        <f ca="1">IFERROR(__xludf.DUMMYFUNCTION("""COMPUTED_VALUE"""),"Активный барьер АБИ (2 канала) ПАШК.426439.146 ТУ")</f>
        <v>Активный барьер АБИ (2 канала) ПАШК.426439.146 ТУ</v>
      </c>
      <c r="B512" s="6" t="str">
        <f ca="1">IFERROR(__xludf.DUMMYFUNCTION("""COMPUTED_VALUE"""),"Активный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конта"&amp;"ктами,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3"&amp;"1610.0-2014 (IEC 60079-0:2011). IP 54
обеспечение искробезопасности двух шлейфов, не имеют гальванических связей между каналами и объединяют два барьера в одном корпусе.")</f>
        <v>Активный барьер искрозащиты «АБИ» 
 предназначен для обеспечения искробезопасности одного (двух) шлейфов пожарной или охранной сигнализации, с включенными в него пожарными или охранными извещателями, датчиками с нормально замкнутыми или разомкнутыми контактами, а также извещателями, питаемыми по шлейфу сигнализации с уровнем искрозащиты «ia» для взрывозащищенного электрооборудования группы II, подгрупп IIC/IIB по ГОСТ 31610.11-2014 (IEC 60079-11:2011).
 Маркировка взрывозащиты [Ex ia Ga] IIВ/IIС по ГОСТ 31610.0-2014 (IEC 60079-0:2011). IP 54
обеспечение искробезопасности двух шлейфов, не имеют гальванических связей между каналами и объединяют два барьера в одном корпусе.</v>
      </c>
      <c r="C512" s="9">
        <f ca="1">IFERROR(__xludf.DUMMYFUNCTION("""COMPUTED_VALUE"""),2387)</f>
        <v>2387</v>
      </c>
      <c r="D512" s="6"/>
      <c r="E512" s="8"/>
    </row>
    <row r="513" spans="1:5" ht="51">
      <c r="A513" s="5" t="str">
        <f ca="1">IFERROR(__xludf.DUMMYFUNCTION("""COMPUTED_VALUE"""),"ПКВ М12х1.5 белый")</f>
        <v>ПКВ М12х1.5 белый</v>
      </c>
      <c r="B513" s="6" t="str">
        <f ca="1">IFERROR(__xludf.DUMMYFUNCTION("""COMPUTED_VALUE"""),"Пластиковые кабельные вводы ПКВ 
 AБС-пластик, IP66/IP68, УХЛ1
Вводная резьба 8 мм, диаметр кабеля 3-6.5 мм, цвет белый")</f>
        <v>Пластиковые кабельные вводы ПКВ 
 AБС-пластик, IP66/IP68, УХЛ1
Вводная резьба 8 мм, диаметр кабеля 3-6.5 мм, цвет белый</v>
      </c>
      <c r="C513" s="9">
        <f ca="1">IFERROR(__xludf.DUMMYFUNCTION("""COMPUTED_VALUE"""),30.8)</f>
        <v>30.8</v>
      </c>
      <c r="D513" s="6"/>
      <c r="E513" s="8"/>
    </row>
    <row r="514" spans="1:5" ht="51">
      <c r="A514" s="5" t="str">
        <f ca="1">IFERROR(__xludf.DUMMYFUNCTION("""COMPUTED_VALUE"""),"ПКВ М20х1.5 белый")</f>
        <v>ПКВ М20х1.5 белый</v>
      </c>
      <c r="B514" s="6" t="str">
        <f ca="1">IFERROR(__xludf.DUMMYFUNCTION("""COMPUTED_VALUE"""),"Пластиковые кабельные вводы ПКВ 
 AБС-пластик, IP66/IP68, УХЛ1
Вводная резьба 15 мм, диаметр кабеля 6-12 мм, цвет белый")</f>
        <v>Пластиковые кабельные вводы ПКВ 
 AБС-пластик, IP66/IP68, УХЛ1
Вводная резьба 15 мм, диаметр кабеля 6-12 мм, цвет белый</v>
      </c>
      <c r="C514" s="9">
        <f ca="1">IFERROR(__xludf.DUMMYFUNCTION("""COMPUTED_VALUE"""),63.8)</f>
        <v>63.8</v>
      </c>
      <c r="D514" s="6"/>
      <c r="E514" s="8"/>
    </row>
    <row r="515" spans="1:5" ht="51">
      <c r="A515" s="5" t="str">
        <f ca="1">IFERROR(__xludf.DUMMYFUNCTION("""COMPUTED_VALUE"""),"ПКВ М20х1.5 голубой")</f>
        <v>ПКВ М20х1.5 голубой</v>
      </c>
      <c r="B515" s="6" t="str">
        <f ca="1">IFERROR(__xludf.DUMMYFUNCTION("""COMPUTED_VALUE"""),"Пластиковые кабельные вводы ПКВ 
 AБС-пластик, IP66/IP68, УХЛ1
 Вводная резьба 15мм, диаметр кабеля 6-12мм, цвет голубой")</f>
        <v>Пластиковые кабельные вводы ПКВ 
 AБС-пластик, IP66/IP68, УХЛ1
 Вводная резьба 15мм, диаметр кабеля 6-12мм, цвет голубой</v>
      </c>
      <c r="C515" s="9">
        <f ca="1">IFERROR(__xludf.DUMMYFUNCTION("""COMPUTED_VALUE"""),121)</f>
        <v>121</v>
      </c>
      <c r="D515" s="6"/>
      <c r="E515" s="8"/>
    </row>
    <row r="516" spans="1:5" ht="51">
      <c r="A516" s="5" t="str">
        <f ca="1">IFERROR(__xludf.DUMMYFUNCTION("""COMPUTED_VALUE"""),"ПКВ М25х1.5 (11-17 мм), черный")</f>
        <v>ПКВ М25х1.5 (11-17 мм), черный</v>
      </c>
      <c r="B516" s="6" t="str">
        <f ca="1">IFERROR(__xludf.DUMMYFUNCTION("""COMPUTED_VALUE"""),"Пластиковые кабельные вводы ПКВ 
AБС-пластик, IP68, УХЛ1 Вводная резьба 15мм, диаметр кабеля 11-17 мм, цвет черный")</f>
        <v>Пластиковые кабельные вводы ПКВ 
AБС-пластик, IP68, УХЛ1 Вводная резьба 15мм, диаметр кабеля 11-17 мм, цвет черный</v>
      </c>
      <c r="C516" s="9">
        <f ca="1">IFERROR(__xludf.DUMMYFUNCTION("""COMPUTED_VALUE"""),118)</f>
        <v>118</v>
      </c>
      <c r="D516" s="6"/>
      <c r="E516" s="8"/>
    </row>
    <row r="517" spans="1:5" ht="51">
      <c r="A517" s="5" t="str">
        <f ca="1">IFERROR(__xludf.DUMMYFUNCTION("""COMPUTED_VALUE"""),"ПКВ М25х1.5 (13-18 мм), белый (светло-серый)")</f>
        <v>ПКВ М25х1.5 (13-18 мм), белый (светло-серый)</v>
      </c>
      <c r="B517" s="6" t="str">
        <f ca="1">IFERROR(__xludf.DUMMYFUNCTION("""COMPUTED_VALUE"""),"Пластиковые кабельные вводы ПКВ 
AБС-пластик, IP68, УХЛ1 Вводная резьба 15мм, диаметр кабеля 13-18 мм, цвет белый")</f>
        <v>Пластиковые кабельные вводы ПКВ 
AБС-пластик, IP68, УХЛ1 Вводная резьба 15мм, диаметр кабеля 13-18 мм, цвет белый</v>
      </c>
      <c r="C517" s="9">
        <f ca="1">IFERROR(__xludf.DUMMYFUNCTION("""COMPUTED_VALUE"""),169.4)</f>
        <v>169.4</v>
      </c>
      <c r="D517" s="6"/>
      <c r="E517" s="8"/>
    </row>
    <row r="518" spans="1:5" ht="25.5">
      <c r="A518" s="5" t="str">
        <f ca="1">IFERROR(__xludf.DUMMYFUNCTION("""COMPUTED_VALUE"""),"МВ20х1.5")</f>
        <v>МВ20х1.5</v>
      </c>
      <c r="B518" s="6" t="str">
        <f ca="1">IFERROR(__xludf.DUMMYFUNCTION("""COMPUTED_VALUE"""),"Вводная резьба 20х1.5 мм, Диаметр кабеля 6 - 12 мм")</f>
        <v>Вводная резьба 20х1.5 мм, Диаметр кабеля 6 - 12 мм</v>
      </c>
      <c r="C518" s="9">
        <f ca="1">IFERROR(__xludf.DUMMYFUNCTION("""COMPUTED_VALUE"""),242)</f>
        <v>242</v>
      </c>
      <c r="D518" s="6"/>
      <c r="E518" s="8"/>
    </row>
    <row r="519" spans="1:5" ht="25.5">
      <c r="A519" s="5" t="str">
        <f ca="1">IFERROR(__xludf.DUMMYFUNCTION("""COMPUTED_VALUE"""),"МВ25х1.5")</f>
        <v>МВ25х1.5</v>
      </c>
      <c r="B519" s="6" t="str">
        <f ca="1">IFERROR(__xludf.DUMMYFUNCTION("""COMPUTED_VALUE"""),"Вводная резьба 25х1.5 мм, Диаметр кабеля 10 - 16 мм")</f>
        <v>Вводная резьба 25х1.5 мм, Диаметр кабеля 10 - 16 мм</v>
      </c>
      <c r="C519" s="9">
        <f ca="1">IFERROR(__xludf.DUMMYFUNCTION("""COMPUTED_VALUE"""),322)</f>
        <v>322</v>
      </c>
      <c r="D519" s="6"/>
      <c r="E519" s="8"/>
    </row>
    <row r="520" spans="1:5" ht="409.5">
      <c r="A520" s="5" t="str">
        <f ca="1">IFERROR(__xludf.DUMMYFUNCTION("""COMPUTED_VALUE"""),"ИО 102-58 N исп.200 с магнитом М-100 ПАШК.425119.130")</f>
        <v>ИО 102-58 N исп.200 с магнитом М-100 ПАШК.425119.130</v>
      </c>
      <c r="B520"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нержавеющая сталь 12Х18Н10Т. Штуцер выбрать</v>
      </c>
      <c r="C520" s="9">
        <f ca="1">IFERROR(__xludf.DUMMYFUNCTION("""COMPUTED_VALUE"""),11413.754)</f>
        <v>11413.754000000001</v>
      </c>
      <c r="D520" s="6"/>
      <c r="E520" s="8"/>
    </row>
    <row r="521" spans="1:5" ht="409.5">
      <c r="A521" s="5" t="str">
        <f ca="1">IFERROR(__xludf.DUMMYFUNCTION("""COMPUTED_VALUE"""),"ИО 102-58 N исп.300 с магнитом М-100 ПАШК.425119.130")</f>
        <v>ИО 102-58 N исп.300 с магнитом М-100 ПАШК.425119.130</v>
      </c>
      <c r="B521"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нержавеющая сталь 12Х18Н10Т. Штуцер выбрать</v>
      </c>
      <c r="C521" s="9">
        <f ca="1">IFERROR(__xludf.DUMMYFUNCTION("""COMPUTED_VALUE"""),11671.396)</f>
        <v>11671.396000000001</v>
      </c>
      <c r="D521" s="6"/>
      <c r="E521" s="8"/>
    </row>
    <row r="522" spans="1:5" ht="409.5">
      <c r="A522" s="5" t="str">
        <f ca="1">IFERROR(__xludf.DUMMYFUNCTION("""COMPUTED_VALUE"""),"ИО 102-58 N исп.200 с магнитом М-200 ПАШК.425119.130")</f>
        <v>ИО 102-58 N исп.200 с магнитом М-200 ПАШК.425119.130</v>
      </c>
      <c r="B522"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нержавеющая сталь 12Х18Н10Т. Штуцер выбрать</v>
      </c>
      <c r="C522" s="9">
        <f ca="1">IFERROR(__xludf.DUMMYFUNCTION("""COMPUTED_VALUE"""),8530.379)</f>
        <v>8530.3790000000008</v>
      </c>
      <c r="D522" s="6"/>
      <c r="E522" s="8"/>
    </row>
    <row r="523" spans="1:5" ht="409.5">
      <c r="A523" s="5" t="str">
        <f ca="1">IFERROR(__xludf.DUMMYFUNCTION("""COMPUTED_VALUE"""),"ИО 102-58 N исп.300 с магнитом М-200 ПАШК.425119.130")</f>
        <v>ИО 102-58 N исп.300 с магнитом М-200 ПАШК.425119.130</v>
      </c>
      <c r="B523"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нержавеющая сталь 12Х18Н10Т.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нержавеющая сталь 12Х18Н10Т. Штуцер выбрать</v>
      </c>
      <c r="C523" s="9">
        <f ca="1">IFERROR(__xludf.DUMMYFUNCTION("""COMPUTED_VALUE"""),8732.823)</f>
        <v>8732.8230000000003</v>
      </c>
      <c r="D523" s="6"/>
      <c r="E523" s="8"/>
    </row>
    <row r="524" spans="1:5" ht="409.5">
      <c r="A524" s="5" t="str">
        <f ca="1">IFERROR(__xludf.DUMMYFUNCTION("""COMPUTED_VALUE"""),"ИО 102-58 Al исп.200 с магнитом М-100 ПАШК.425119.130")</f>
        <v>ИО 102-58 Al исп.200 с магнитом М-100 ПАШК.425119.130</v>
      </c>
      <c r="B524"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 корпус алюминиевый сплав Д16Т. Штуцер выбрать</v>
      </c>
      <c r="C524" s="9">
        <f ca="1">IFERROR(__xludf.DUMMYFUNCTION("""COMPUTED_VALUE"""),11016.302)</f>
        <v>11016.302</v>
      </c>
      <c r="D524" s="6"/>
      <c r="E524" s="8"/>
    </row>
    <row r="525" spans="1:5" ht="409.5">
      <c r="A525" s="5" t="str">
        <f ca="1">IFERROR(__xludf.DUMMYFUNCTION("""COMPUTED_VALUE"""),"ИО 102-58 Al исп.300 с магнитом М-100 ПАШК.425119.130")</f>
        <v>ИО 102-58 Al исп.300 с магнитом М-100 ПАШК.425119.130</v>
      </c>
      <c r="B525"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алюминиевый сплав Д16Т. Штуцер выбрать</v>
      </c>
      <c r="C525" s="9">
        <f ca="1">IFERROR(__xludf.DUMMYFUNCTION("""COMPUTED_VALUE"""),11266.508)</f>
        <v>11266.508</v>
      </c>
      <c r="D525" s="6"/>
      <c r="E525" s="8"/>
    </row>
    <row r="526" spans="1:5" ht="409.5">
      <c r="A526" s="5" t="str">
        <f ca="1">IFERROR(__xludf.DUMMYFUNCTION("""COMPUTED_VALUE"""),"ИО 102-58 Al исп.200 с магнитом М-200 ПАШК.425119.130")</f>
        <v>ИО 102-58 Al исп.200 с магнитом М-200 ПАШК.425119.130</v>
      </c>
      <c r="B526"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НР геркон, сменный кабельный ввод с резьбой М25,корпус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НР геркон, сменный кабельный ввод с резьбой М25,корпус алюминиевый сплав Д16Т. Штуцер выбрать</v>
      </c>
      <c r="C526" s="9">
        <f ca="1">IFERROR(__xludf.DUMMYFUNCTION("""COMPUTED_VALUE"""),8132.762)</f>
        <v>8132.7619999999997</v>
      </c>
      <c r="D526" s="6"/>
      <c r="E526" s="8"/>
    </row>
    <row r="527" spans="1:5" ht="409.5">
      <c r="A527" s="5" t="str">
        <f ca="1">IFERROR(__xludf.DUMMYFUNCTION("""COMPUTED_VALUE"""),"ИО 102-58 Al исп.300 с магнитом М-200 ПАШК.425119.130")</f>
        <v>ИО 102-58 Al исп.300 с магнитом М-200 ПАШК.425119.130</v>
      </c>
      <c r="B527" s="6" t="str">
        <f ca="1">IFERROR(__xludf.DUMMYFUNCTION("""COMPUTED_VALUE"""),"ИО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пласт"&amp;"ика,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ма"&amp;"гнита).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выпускаютс"&amp;"я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прокладк"&amp;"и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каб"&amp;"еля в металлорукаве (КМ15, КМ20).
Переключающий геркон, сменный кабельный ввод с резьбой М25, корпус алюминиевый сплав Д16Т. Штуцер выбрать")</f>
        <v>ИО 102-58 ПАШК.425119.130 
 предназначены для контроля положения частей конструкций и механизмов, конструктивных элементов зданий и сооружений на открывание или смещение, выполненных из магнитных (стали и сплавов) или немагнитных материалов (дерева, пластика, алюминия) с последующей выдачей извещения о тревоге на приемно-контрольный прибор или оконечное объектовое устройство системы передачи извещений. Состоят из двух компонентов - датчика магнитоуправляемого (блока геркона) и задающего элемента (блока магнита). Блок геркона и блок магнита извещателя ИО 102-58 помещены в металлические корпуса цилиндрической формы из алюминиевого сплава или нержавеющей стали. Блок геркона оборудован кабельным вводом, расположенным с торца корпуса.
 Блоки геркона выпускаются в двух модификациях под условными номерами 200, 300.
 Блоки магнита выпускаются в двух модификациях под условными обозначениями М 100, М 200. Блоки геркона комплектуются сменными кабельными вводами различных исполнений (штуцер):
 - для открытой прокладки кабеля диаметром 6-12мм (индекс в обозначении К);
 - для присоединения бронированного кабеля диаметром 6-12мм (индекс в обозначении B);
 - для прокладки присоединяемого кабеля в трубе G1/2 (TG-1/2) или G3/4 (TG-3/4);
 - для прокладки присоединяемого кабеля в металлорукаве (КМ15, КМ20).
Переключающий геркон, сменный кабельный ввод с резьбой М25, корпус алюминиевый сплав Д16Т. Штуцер выбрать</v>
      </c>
      <c r="C527" s="9">
        <f ca="1">IFERROR(__xludf.DUMMYFUNCTION("""COMPUTED_VALUE"""),8327.935)</f>
        <v>8327.9349999999995</v>
      </c>
      <c r="D527" s="6"/>
      <c r="E527" s="8"/>
    </row>
    <row r="528" spans="1:5" ht="25.5">
      <c r="A528" s="5" t="str">
        <f ca="1">IFERROR(__xludf.DUMMYFUNCTION("""COMPUTED_VALUE"""),"УК-2П на 4 пары винтовых колодок")</f>
        <v>УК-2П на 4 пары винтовых колодок</v>
      </c>
      <c r="B528" s="6" t="str">
        <f ca="1">IFERROR(__xludf.DUMMYFUNCTION("""COMPUTED_VALUE"""),"IP40. На 4 пары винтовых колодок (низкая, крышка под винт)")</f>
        <v>IP40. На 4 пары винтовых колодок (низкая, крышка под винт)</v>
      </c>
      <c r="C528" s="9">
        <f ca="1">IFERROR(__xludf.DUMMYFUNCTION("""COMPUTED_VALUE"""),57.8622)</f>
        <v>57.862200000000001</v>
      </c>
      <c r="D528" s="6"/>
      <c r="E528" s="8"/>
    </row>
    <row r="529" spans="1:5" ht="25.5">
      <c r="A529" s="5" t="str">
        <f ca="1">IFERROR(__xludf.DUMMYFUNCTION("""COMPUTED_VALUE"""),"УК-2П на 5 пар винтовых колодок")</f>
        <v>УК-2П на 5 пар винтовых колодок</v>
      </c>
      <c r="B529" s="6" t="str">
        <f ca="1">IFERROR(__xludf.DUMMYFUNCTION("""COMPUTED_VALUE"""),"IP40. На 5 пар винтовых колодок (низкая, крышка под защелку)")</f>
        <v>IP40. На 5 пар винтовых колодок (низкая, крышка под защелку)</v>
      </c>
      <c r="C529" s="9">
        <f ca="1">IFERROR(__xludf.DUMMYFUNCTION("""COMPUTED_VALUE"""),65.098)</f>
        <v>65.097999999999999</v>
      </c>
      <c r="D529" s="6"/>
      <c r="E529" s="8"/>
    </row>
    <row r="530" spans="1:5" ht="25.5">
      <c r="A530" s="5" t="str">
        <f ca="1">IFERROR(__xludf.DUMMYFUNCTION("""COMPUTED_VALUE"""),"УК-2П с тампером")</f>
        <v>УК-2П с тампером</v>
      </c>
      <c r="B530" s="6" t="str">
        <f ca="1">IFERROR(__xludf.DUMMYFUNCTION("""COMPUTED_VALUE"""),"IP40. На 4 пары винтовых колодок. с тампером ")</f>
        <v xml:space="preserve">IP40. На 4 пары винтовых колодок. с тампером </v>
      </c>
      <c r="C530" s="9">
        <f ca="1">IFERROR(__xludf.DUMMYFUNCTION("""COMPUTED_VALUE"""),338.8)</f>
        <v>338.8</v>
      </c>
      <c r="D530" s="6"/>
      <c r="E530" s="8"/>
    </row>
    <row r="531" spans="1:5" ht="25.5">
      <c r="A531" s="5" t="str">
        <f ca="1">IFERROR(__xludf.DUMMYFUNCTION("""COMPUTED_VALUE"""),"УК-2П на 4 пары клеммных колодок")</f>
        <v>УК-2П на 4 пары клеммных колодок</v>
      </c>
      <c r="B531" s="6" t="str">
        <f ca="1">IFERROR(__xludf.DUMMYFUNCTION("""COMPUTED_VALUE"""),"IP40. На 4 пары клеммных колодок (высокая, крышка под винт)")</f>
        <v>IP40. На 4 пары клеммных колодок (высокая, крышка под винт)</v>
      </c>
      <c r="C531" s="9">
        <f ca="1">IFERROR(__xludf.DUMMYFUNCTION("""COMPUTED_VALUE"""),54.45)</f>
        <v>54.45</v>
      </c>
      <c r="D531" s="6"/>
      <c r="E531" s="8"/>
    </row>
    <row r="532" spans="1:5" ht="25.5">
      <c r="A532" s="5" t="str">
        <f ca="1">IFERROR(__xludf.DUMMYFUNCTION("""COMPUTED_VALUE"""),"УК-2П на 5 пар клеммных колодок")</f>
        <v>УК-2П на 5 пар клеммных колодок</v>
      </c>
      <c r="B532" s="6" t="str">
        <f ca="1">IFERROR(__xludf.DUMMYFUNCTION("""COMPUTED_VALUE"""),"IP40. На 5 пар клеммных колодок (высокая, крышка под защелку)")</f>
        <v>IP40. На 5 пар клеммных колодок (высокая, крышка под защелку)</v>
      </c>
      <c r="C532" s="9">
        <f ca="1">IFERROR(__xludf.DUMMYFUNCTION("""COMPUTED_VALUE"""),57.6686)</f>
        <v>57.668599999999998</v>
      </c>
      <c r="D532" s="6"/>
      <c r="E532" s="8"/>
    </row>
    <row r="533" spans="1:5" ht="25.5">
      <c r="A533" s="5" t="str">
        <f ca="1">IFERROR(__xludf.DUMMYFUNCTION("""COMPUTED_VALUE"""),"УК-2П с керамической клеммной колодкой (на 3 пары)")</f>
        <v>УК-2П с керамической клеммной колодкой (на 3 пары)</v>
      </c>
      <c r="B533" s="6" t="str">
        <f ca="1">IFERROR(__xludf.DUMMYFUNCTION("""COMPUTED_VALUE"""),"Керамическая клеммная колодка на 3 пары (высокая, крышка под защелку)")</f>
        <v>Керамическая клеммная колодка на 3 пары (высокая, крышка под защелку)</v>
      </c>
      <c r="C533" s="9">
        <f ca="1">IFERROR(__xludf.DUMMYFUNCTION("""COMPUTED_VALUE"""),136.1008)</f>
        <v>136.10079999999999</v>
      </c>
      <c r="D533" s="6"/>
      <c r="E533" s="8"/>
    </row>
    <row r="534" spans="1:5" ht="165.75">
      <c r="A534" s="5" t="str">
        <f ca="1">IFERROR(__xludf.DUMMYFUNCTION("""COMPUTED_VALUE"""),"КС-2")</f>
        <v>КС-2</v>
      </c>
      <c r="B534"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2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2 пары клемм, 39 х 39 х 20 мм</v>
      </c>
      <c r="C534" s="9">
        <f ca="1">IFERROR(__xludf.DUMMYFUNCTION("""COMPUTED_VALUE"""),41.8781)</f>
        <v>41.878100000000003</v>
      </c>
      <c r="D534" s="6"/>
      <c r="E534" s="8"/>
    </row>
    <row r="535" spans="1:5" ht="165.75">
      <c r="A535" s="5" t="str">
        <f ca="1">IFERROR(__xludf.DUMMYFUNCTION("""COMPUTED_VALUE"""),"КС-3")</f>
        <v>КС-3</v>
      </c>
      <c r="B535"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3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3 пары клемм, 39 х 39 х 20 мм</v>
      </c>
      <c r="C535" s="9">
        <f ca="1">IFERROR(__xludf.DUMMYFUNCTION("""COMPUTED_VALUE"""),45.2298)</f>
        <v>45.229799999999997</v>
      </c>
      <c r="D535" s="6"/>
      <c r="E535" s="8"/>
    </row>
    <row r="536" spans="1:5" ht="165.75">
      <c r="A536" s="5" t="str">
        <f ca="1">IFERROR(__xludf.DUMMYFUNCTION("""COMPUTED_VALUE"""),"КС-4")</f>
        <v>КС-4</v>
      </c>
      <c r="B536"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39 х 39 х 20 мм</v>
      </c>
      <c r="C536" s="9">
        <f ca="1">IFERROR(__xludf.DUMMYFUNCTION("""COMPUTED_VALUE"""),50.2513)</f>
        <v>50.251300000000001</v>
      </c>
      <c r="D536" s="6"/>
      <c r="E536" s="8"/>
    </row>
    <row r="537" spans="1:5" ht="165.75">
      <c r="A537" s="5" t="str">
        <f ca="1">IFERROR(__xludf.DUMMYFUNCTION("""COMPUTED_VALUE"""),"КС-4 с тампером")</f>
        <v>КС-4 с тампером</v>
      </c>
      <c r="B537"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тампер,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тампер, 39 х 39 х 20 мм</v>
      </c>
      <c r="C537" s="9">
        <f ca="1">IFERROR(__xludf.DUMMYFUNCTION("""COMPUTED_VALUE"""),338.8)</f>
        <v>338.8</v>
      </c>
      <c r="D537" s="6"/>
      <c r="E537" s="8"/>
    </row>
    <row r="538" spans="1:5" ht="165.75">
      <c r="A538" s="5" t="str">
        <f ca="1">IFERROR(__xludf.DUMMYFUNCTION("""COMPUTED_VALUE"""),"КС-2 (цвет по запросу)")</f>
        <v>КС-2 (цвет по запросу)</v>
      </c>
      <c r="B538"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2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2 пары клемм, 39 х 39 х 20 мм</v>
      </c>
      <c r="C538" s="9">
        <f ca="1">IFERROR(__xludf.DUMMYFUNCTION("""COMPUTED_VALUE"""),43.5358)</f>
        <v>43.535800000000002</v>
      </c>
      <c r="D538" s="6"/>
      <c r="E538" s="8"/>
    </row>
    <row r="539" spans="1:5" ht="165.75">
      <c r="A539" s="5" t="str">
        <f ca="1">IFERROR(__xludf.DUMMYFUNCTION("""COMPUTED_VALUE"""),"КС-3 (цвет по запросу)")</f>
        <v>КС-3 (цвет по запросу)</v>
      </c>
      <c r="B539"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3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3 пары клемм, 39 х 39 х 20 мм</v>
      </c>
      <c r="C539" s="9">
        <f ca="1">IFERROR(__xludf.DUMMYFUNCTION("""COMPUTED_VALUE"""),46.8875)</f>
        <v>46.887500000000003</v>
      </c>
      <c r="D539" s="6"/>
      <c r="E539" s="8"/>
    </row>
    <row r="540" spans="1:5" ht="165.75">
      <c r="A540" s="5" t="str">
        <f ca="1">IFERROR(__xludf.DUMMYFUNCTION("""COMPUTED_VALUE"""),"КС-4 (цвет по запросу)")</f>
        <v>КС-4 (цвет по запросу)</v>
      </c>
      <c r="B540" s="6" t="str">
        <f ca="1">IFERROR(__xludf.DUMMYFUNCTION("""COMPUTED_VALUE"""),"Коробки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"&amp;"КС-3, КС-4 и нескольких цветов: белый, серый, коричневый, терракотовый, черный. IP 40
4 пары клемм, 39 х 39 х 20 мм")</f>
        <v>Коробки соединительные КС предназначены для монтажа систем охранно-пожарной сигнализации, теленаблюдения к шлейфам сигнализации, а так же монтажа других цепей постоянного или переменного тока. Коробки соединительные КС выпускаются трех модификаций: КС-2, КС-3, КС-4 и нескольких цветов: белый, серый, коричневый, терракотовый, черный. IP 40
4 пары клемм, 39 х 39 х 20 мм</v>
      </c>
      <c r="C540" s="9">
        <f ca="1">IFERROR(__xludf.DUMMYFUNCTION("""COMPUTED_VALUE"""),52.3446)</f>
        <v>52.3446</v>
      </c>
      <c r="D540" s="6"/>
      <c r="E540" s="8"/>
    </row>
    <row r="541" spans="1:5" ht="89.25">
      <c r="A541" s="5" t="str">
        <f ca="1">IFERROR(__xludf.DUMMYFUNCTION("""COMPUTED_VALUE"""),"КРТП 10х2")</f>
        <v>КРТП 10х2</v>
      </c>
      <c r="B541" s="6" t="str">
        <f ca="1">IFERROR(__xludf.DUMMYFUNCTION("""COMPUTED_VALUE"""),"Коробка распределительная телефонная плоская,  20 пар контактов Предназначена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плоская,  20 пар контактов Предназначена для монтажа, расключения, коммутации телефонных и кабельных линий, сигнальных шлейфов охранно-пожарной сигнализации, цепей питания.</v>
      </c>
      <c r="C541" s="9">
        <f ca="1">IFERROR(__xludf.DUMMYFUNCTION("""COMPUTED_VALUE"""),196)</f>
        <v>196</v>
      </c>
      <c r="D541" s="6"/>
      <c r="E541" s="8"/>
    </row>
    <row r="542" spans="1:5" ht="114.75">
      <c r="A542" s="5" t="str">
        <f ca="1">IFERROR(__xludf.DUMMYFUNCTION("""COMPUTED_VALUE"""),"КРТП 10х2-Т")</f>
        <v>КРТП 10х2-Т</v>
      </c>
      <c r="B542" s="6" t="str">
        <f ca="1">IFERROR(__xludf.DUMMYFUNCTION("""COMPUTED_VALUE"""),"Коробка распределительная телефонная плоская, 20 пар контактов, с датчиком вскрытия (тампером).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охра"&amp;"нно-пожарной сигнализации, цепей питания.")</f>
        <v>Коробка распределительная телефонная плоская, 20 пар контактов, с датчиком вскрытия (тампером).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2" s="9">
        <f ca="1">IFERROR(__xludf.DUMMYFUNCTION("""COMPUTED_VALUE"""),380)</f>
        <v>380</v>
      </c>
      <c r="D542" s="6"/>
      <c r="E542" s="8"/>
    </row>
    <row r="543" spans="1:5" ht="89.25">
      <c r="A543" s="5" t="str">
        <f ca="1">IFERROR(__xludf.DUMMYFUNCTION("""COMPUTED_VALUE"""),"КРТП 10х2 IP66 АЯКС
(глухая)")</f>
        <v>КРТП 10х2 IP66 АЯКС
(глухая)</v>
      </c>
      <c r="B543" s="6" t="str">
        <f ca="1">IFERROR(__xludf.DUMMYFUNCTION("""COMPUTED_VALUE"""),"Коробка распределительная телефонная, 20 пар контактов. Степень защиты IP66 по ГОСТ 14254-2015. Без кабельных вводов.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20 пар контактов. Степень защиты IP66 по ГОСТ 14254-2015. Без кабельных вводов. Для монтажа, расключения, коммутации телефонных и кабельных линий, сигнальных шлейфов охранно-пожарной сигнализации, цепей питания.</v>
      </c>
      <c r="C543" s="9">
        <f ca="1">IFERROR(__xludf.DUMMYFUNCTION("""COMPUTED_VALUE"""),1320)</f>
        <v>1320</v>
      </c>
      <c r="D543" s="6"/>
      <c r="E543" s="8"/>
    </row>
    <row r="544" spans="1:5" ht="140.25">
      <c r="A544" s="5" t="str">
        <f ca="1">IFERROR(__xludf.DUMMYFUNCTION("""COMPUTED_VALUE"""),"КРТП 10х2-Т IP66 АЯКС
(глухая)")</f>
        <v>КРТП 10х2-Т IP66 АЯКС
(глухая)</v>
      </c>
      <c r="B544" s="6" t="str">
        <f ca="1">IFERROR(__xludf.DUMMYFUNCTION("""COMPUTED_VALUE"""),"Коробка распределительная телефонная, 20 пар контактов, с датчиком вскрытия (тампером). Степень защиты IP66 по ГОСТ 14254-2015. Без кабельных вводов. Коммутация сигнала несанкционированного проникновения. Предназначена для монтажа, расключения, коммутации"&amp;" телефонных и кабельных линий, сигнальных шлейфов охранно-пожарной сигнализации, цепей питания.")</f>
        <v>Коробка распределительная телефонная, 20 пар контактов, с датчиком вскрытия (тампером). Степень защиты IP66 по ГОСТ 14254-2015. Без кабельных вводов.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4" s="9">
        <f ca="1">IFERROR(__xludf.DUMMYFUNCTION("""COMPUTED_VALUE"""),1540)</f>
        <v>1540</v>
      </c>
      <c r="D544" s="6"/>
      <c r="E544" s="8"/>
    </row>
    <row r="545" spans="1:5" ht="102">
      <c r="A545" s="5" t="str">
        <f ca="1">IFERROR(__xludf.DUMMYFUNCTION("""COMPUTED_VALUE"""),"КРТП 10х2 IP66 АЯКС (4 каб.ввода)")</f>
        <v>КРТП 10х2 IP66 АЯКС (4 каб.ввода)</v>
      </c>
      <c r="B545" s="6" t="str">
        <f ca="1">IFERROR(__xludf.DUMMYFUNCTION("""COMPUTED_VALUE"""),"Коробка распределительная телефонная, 20 пар контактов. Степень защиты IP66 по ГОСТ 14254-2015. Четыре кабельных ввода под кабель диаметром от 6 до 12 мм. Для монтажа, расключения, коммутации телефонных и кабельных линий, сигнальных шлейфов охранно-пожарн"&amp;"ой сигнализации, цепей питания.")</f>
        <v>Коробка распределительная телефонная, 20 пар контактов. Степень защиты IP66 по ГОСТ 14254-2015. Четыре кабельных ввода под кабель диаметром от 6 до 12 мм. Для монтажа, расключения, коммутации телефонных и кабельных линий, сигнальных шлейфов охранно-пожарной сигнализации, цепей питания.</v>
      </c>
      <c r="C545" s="9">
        <f ca="1">IFERROR(__xludf.DUMMYFUNCTION("""COMPUTED_VALUE"""),1662)</f>
        <v>1662</v>
      </c>
      <c r="D545" s="6"/>
      <c r="E545" s="8"/>
    </row>
    <row r="546" spans="1:5" ht="153">
      <c r="A546" s="5" t="str">
        <f ca="1">IFERROR(__xludf.DUMMYFUNCTION("""COMPUTED_VALUE"""),"КРТП 10х2-Т IP66 АЯКС (4 каб.ввода)")</f>
        <v>КРТП 10х2-Т IP66 АЯКС (4 каб.ввода)</v>
      </c>
      <c r="B546" s="6" t="str">
        <f ca="1">IFERROR(__xludf.DUMMYFUNCTION("""COMPUTED_VALUE"""),"Коробка распределительная телефонная, 20 пар контактов, с датчиком вскрытия (тампером). Степень защиты IP66 по ГОСТ 14254-2015. Четыре кабельных ввода под кабель диаметром от 6 до 12 мм . Коммутация сигнала несанкционированного проникновения. Предназначен"&amp;"а для монтажа, расключения, коммутации телефонных и кабельных линий, сигнальных шлейфов охранно-пожарной сигнализации, цепей питания.")</f>
        <v>Коробка распределительная телефонная, 20 пар контактов, с датчиком вскрытия (тампером). Степень защиты IP66 по ГОСТ 14254-2015. Четыре кабельных ввода под кабель диаметром от 6 до 12 мм . Коммутация сигнала несанкционированного проникновения. Предназначена для монтажа, расключения, коммутации телефонных и кабельных линий, сигнальных шлейфов охранно-пожарной сигнализации, цепей питания.</v>
      </c>
      <c r="C546" s="9">
        <f ca="1">IFERROR(__xludf.DUMMYFUNCTION("""COMPUTED_VALUE"""),1880)</f>
        <v>1880</v>
      </c>
      <c r="D546" s="6"/>
      <c r="E546" s="8"/>
    </row>
    <row r="547" spans="1:5" ht="102">
      <c r="A547" s="5" t="str">
        <f ca="1">IFERROR(__xludf.DUMMYFUNCTION("""COMPUTED_VALUE"""),"КРТП 10х2 IP66 АЯКС (6 каб.вводов)")</f>
        <v>КРТП 10х2 IP66 АЯКС (6 каб.вводов)</v>
      </c>
      <c r="B547" s="6" t="str">
        <f ca="1">IFERROR(__xludf.DUMMYFUNCTION("""COMPUTED_VALUE"""),"Коробка распределительная телефонная, 20 пар контактов. Степень защиты IP66 по ГОСТ 14254-2015. Шесть кабельных ввода под кабель диаметром от 6 до 12 мм. Для монтажа, расключения, коммутации телефонных и кабельных линий, сигнальных шлейфов охранно-пожарно"&amp;"й сигнализации, цепей питания.")</f>
        <v>Коробка распределительная телефонная, 20 пар контактов. Степень защиты IP66 по ГОСТ 14254-2015. Шесть кабельных ввода под кабель диаметром от 6 до 12 мм. Для монтажа, расключения, коммутации телефонных и кабельных линий, сигнальных шлейфов охранно-пожарной сигнализации, цепей питания.</v>
      </c>
      <c r="C547" s="9">
        <f ca="1">IFERROR(__xludf.DUMMYFUNCTION("""COMPUTED_VALUE"""),2280)</f>
        <v>2280</v>
      </c>
      <c r="D547" s="6"/>
      <c r="E547" s="8"/>
    </row>
    <row r="548" spans="1:5" ht="242.25">
      <c r="A548" s="5" t="str">
        <f ca="1">IFERROR(__xludf.DUMMYFUNCTION("""COMPUTED_VALUE"""),"Гибкий переход УС-4х4/200 ПАШК.685552.142")</f>
        <v>Гибкий переход УС-4х4/200 ПАШК.685552.142</v>
      </c>
      <c r="B548"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200мм,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200мм, 4 пары клемм.</v>
      </c>
      <c r="C548" s="9">
        <f ca="1">IFERROR(__xludf.DUMMYFUNCTION("""COMPUTED_VALUE"""),220)</f>
        <v>220</v>
      </c>
      <c r="D548" s="6"/>
      <c r="E548" s="8"/>
    </row>
    <row r="549" spans="1:5" ht="242.25">
      <c r="A549" s="5" t="str">
        <f ca="1">IFERROR(__xludf.DUMMYFUNCTION("""COMPUTED_VALUE"""),"Гибкий переход УС-4х4/300 ПАШК.685552.142")</f>
        <v>Гибкий переход УС-4х4/300 ПАШК.685552.142</v>
      </c>
      <c r="B549"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300мм,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300мм, 4 пары клемм.</v>
      </c>
      <c r="C549" s="9">
        <f ca="1">IFERROR(__xludf.DUMMYFUNCTION("""COMPUTED_VALUE"""),224.4)</f>
        <v>224.4</v>
      </c>
      <c r="D549" s="6"/>
      <c r="E549" s="8"/>
    </row>
    <row r="550" spans="1:5" ht="242.25">
      <c r="A550" s="5" t="str">
        <f ca="1">IFERROR(__xludf.DUMMYFUNCTION("""COMPUTED_VALUE"""),"Гибкий переход УС-4х4/400 ПАШК.685552.142")</f>
        <v>Гибкий переход УС-4х4/400 ПАШК.685552.142</v>
      </c>
      <c r="B550"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400мм,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400мм, 4 пары клемм.</v>
      </c>
      <c r="C550" s="9">
        <f ca="1">IFERROR(__xludf.DUMMYFUNCTION("""COMPUTED_VALUE"""),231)</f>
        <v>231</v>
      </c>
      <c r="D550" s="6"/>
      <c r="E550" s="8"/>
    </row>
    <row r="551" spans="1:5" ht="242.25">
      <c r="A551" s="5" t="str">
        <f ca="1">IFERROR(__xludf.DUMMYFUNCTION("""COMPUTED_VALUE"""),"Гибкий переход УС-4х4/500 ПАШК.685552.142")</f>
        <v>Гибкий переход УС-4х4/500 ПАШК.685552.142</v>
      </c>
      <c r="B551" s="6" t="str">
        <f ca="1">IFERROR(__xludf.DUMMYFUNCTION("""COMPUTED_VALUE"""),"Гибкий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внутри"&amp;"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"&amp;"40
Кабель в гофрорукаве, длина 500мм, 4 пары клемм.")</f>
        <v>Гибкий переход УС 4х4 
 Переход конструктивно состоит из двух соединительных коробок КС, соединенных между собой кабелем в гофрорукаве (гибким переходом), длина которого зависит от модификации. Каждая соединительная коробка КС состоит из основания, внутри которого расположены 4 пары металлических контактов. Провода шлейфа зажимаются между контактами и гайками с помощью 8 винтов Ø3мм. Основания КС закрываются крышкой и фиксируются саморезом. Цветовой ряд: черный, белый, серый, коричневый, терракотовый. IP 40
Кабель в гофрорукаве, длина 500мм, 4 пары клемм.</v>
      </c>
      <c r="C551" s="9">
        <f ca="1">IFERROR(__xludf.DUMMYFUNCTION("""COMPUTED_VALUE"""),237.6)</f>
        <v>237.6</v>
      </c>
      <c r="D551" s="6"/>
      <c r="E551" s="8"/>
    </row>
    <row r="552" spans="1:5" ht="76.5">
      <c r="A552" s="5" t="str">
        <f ca="1">IFERROR(__xludf.DUMMYFUNCTION("""COMPUTED_VALUE"""),"Гибкий переход ГПД-200 белый")</f>
        <v>Гибкий переход ГПД-200 белый</v>
      </c>
      <c r="B552"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200*±5мм.")</f>
        <v>Переход ГПД конструктивно состоит из двух наконечников, соединенных между собой металлорукавом (гибким переходом) 
IP40, Металлорукав РЗЦ Ø6мм, длина 200*±5мм.</v>
      </c>
      <c r="C552" s="9">
        <f ca="1">IFERROR(__xludf.DUMMYFUNCTION("""COMPUTED_VALUE"""),78.65)</f>
        <v>78.650000000000006</v>
      </c>
      <c r="D552" s="6"/>
      <c r="E552" s="8"/>
    </row>
    <row r="553" spans="1:5" ht="76.5">
      <c r="A553" s="5" t="str">
        <f ca="1">IFERROR(__xludf.DUMMYFUNCTION("""COMPUTED_VALUE"""),"Гибкий переход ГПД-300 белый")</f>
        <v>Гибкий переход ГПД-300 белый</v>
      </c>
      <c r="B553"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300*±5мм.")</f>
        <v>Переход ГПД конструктивно состоит из двух наконечников, соединенных между собой металлорукавом (гибким переходом) 
IP40, Металлорукав РЗЦ Ø6мм, длина 300*±5мм.</v>
      </c>
      <c r="C553" s="9">
        <f ca="1">IFERROR(__xludf.DUMMYFUNCTION("""COMPUTED_VALUE"""),83.974)</f>
        <v>83.974000000000004</v>
      </c>
      <c r="D553" s="6"/>
      <c r="E553" s="8"/>
    </row>
    <row r="554" spans="1:5" ht="76.5">
      <c r="A554" s="5" t="str">
        <f ca="1">IFERROR(__xludf.DUMMYFUNCTION("""COMPUTED_VALUE"""),"Гибкий переход ГПД-400 белый")</f>
        <v>Гибкий переход ГПД-400 белый</v>
      </c>
      <c r="B554"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400*±5мм.")</f>
        <v>Переход ГПД конструктивно состоит из двух наконечников, соединенных между собой металлорукавом (гибким переходом) 
IP40, Металлорукав РЗЦ Ø6мм, длина 400*±5мм.</v>
      </c>
      <c r="C554" s="9">
        <f ca="1">IFERROR(__xludf.DUMMYFUNCTION("""COMPUTED_VALUE"""),91.96)</f>
        <v>91.96</v>
      </c>
      <c r="D554" s="6"/>
      <c r="E554" s="8"/>
    </row>
    <row r="555" spans="1:5" ht="76.5">
      <c r="A555" s="5" t="str">
        <f ca="1">IFERROR(__xludf.DUMMYFUNCTION("""COMPUTED_VALUE"""),"Гибкий переход ГПД-500 белый")</f>
        <v>Гибкий переход ГПД-500 белый</v>
      </c>
      <c r="B555"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500*±5мм.")</f>
        <v>Переход ГПД конструктивно состоит из двух наконечников, соединенных между собой металлорукавом (гибким переходом) 
IP40, Металлорукав РЗЦ Ø6мм, длина 500*±5мм.</v>
      </c>
      <c r="C555" s="9">
        <f ca="1">IFERROR(__xludf.DUMMYFUNCTION("""COMPUTED_VALUE"""),100.43)</f>
        <v>100.43</v>
      </c>
      <c r="D555" s="6"/>
      <c r="E555" s="8"/>
    </row>
    <row r="556" spans="1:5" ht="76.5">
      <c r="A556" s="5" t="str">
        <f ca="1">IFERROR(__xludf.DUMMYFUNCTION("""COMPUTED_VALUE"""),"Гибкий переход ГПД-200 белый, нержавеющая сталь")</f>
        <v>Гибкий переход ГПД-200 белый, нержавеющая сталь</v>
      </c>
      <c r="B556"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200*±5мм.")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200*±5мм.</v>
      </c>
      <c r="C556" s="9">
        <f ca="1">IFERROR(__xludf.DUMMYFUNCTION("""COMPUTED_VALUE"""),98.01)</f>
        <v>98.01</v>
      </c>
      <c r="D556" s="6"/>
      <c r="E556" s="8"/>
    </row>
    <row r="557" spans="1:5" ht="76.5">
      <c r="A557" s="5" t="str">
        <f ca="1">IFERROR(__xludf.DUMMYFUNCTION("""COMPUTED_VALUE"""),"Гибкий переход ГПД-300 белый, нержавеющая сталь")</f>
        <v>Гибкий переход ГПД-300 белый, нержавеющая сталь</v>
      </c>
      <c r="B557"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300*±5мм.")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300*±5мм.</v>
      </c>
      <c r="C557" s="9">
        <f ca="1">IFERROR(__xludf.DUMMYFUNCTION("""COMPUTED_VALUE"""),100.43)</f>
        <v>100.43</v>
      </c>
      <c r="D557" s="6"/>
      <c r="E557" s="8"/>
    </row>
    <row r="558" spans="1:5" ht="76.5">
      <c r="A558" s="5" t="str">
        <f ca="1">IFERROR(__xludf.DUMMYFUNCTION("""COMPUTED_VALUE"""),"Гибкий переход ГПД-400 белый, нержавеющая сталь")</f>
        <v>Гибкий переход ГПД-400 белый, нержавеющая сталь</v>
      </c>
      <c r="B558"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400*±5мм.")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400*±5мм.</v>
      </c>
      <c r="C558" s="9">
        <f ca="1">IFERROR(__xludf.DUMMYFUNCTION("""COMPUTED_VALUE"""),108.9)</f>
        <v>108.9</v>
      </c>
      <c r="D558" s="6"/>
      <c r="E558" s="8"/>
    </row>
    <row r="559" spans="1:5" ht="76.5">
      <c r="A559" s="5" t="str">
        <f ca="1">IFERROR(__xludf.DUMMYFUNCTION("""COMPUTED_VALUE"""),"Гибкий переход ГПД-500 белый, нержавеющая сталь")</f>
        <v>Гибкий переход ГПД-500 белый, нержавеющая сталь</v>
      </c>
      <c r="B559"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500*±5мм.")</f>
        <v>Переход ГПД конструктивно состоит из двух наконечников, соединенных между собой металлорукавом (гибким переходом) 
IP40, Металлорукав РЗН (нерж.сталь) Ø6мм, длина 500*±5мм.</v>
      </c>
      <c r="C559" s="9">
        <f ca="1">IFERROR(__xludf.DUMMYFUNCTION("""COMPUTED_VALUE"""),123.42)</f>
        <v>123.42</v>
      </c>
      <c r="D559" s="6"/>
      <c r="E559" s="8"/>
    </row>
    <row r="560" spans="1:5" ht="76.5">
      <c r="A560" s="5" t="str">
        <f ca="1">IFERROR(__xludf.DUMMYFUNCTION("""COMPUTED_VALUE"""),"Гибкий переход ГПД-200 черный")</f>
        <v>Гибкий переход ГПД-200 черный</v>
      </c>
      <c r="B560"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200*±5мм.")</f>
        <v>Переход ГПД конструктивно состоит из двух наконечников, соединенных между собой металлорукавом (гибким переходом) 
IP40, Металлорукав РЗЦ Ø6мм, длина 200*±5мм.</v>
      </c>
      <c r="C560" s="9">
        <f ca="1">IFERROR(__xludf.DUMMYFUNCTION("""COMPUTED_VALUE"""),98.01)</f>
        <v>98.01</v>
      </c>
      <c r="D560" s="6"/>
      <c r="E560" s="8"/>
    </row>
    <row r="561" spans="1:5" ht="76.5">
      <c r="A561" s="5" t="str">
        <f ca="1">IFERROR(__xludf.DUMMYFUNCTION("""COMPUTED_VALUE"""),"Гибкий переход ГПД-300 черный")</f>
        <v>Гибкий переход ГПД-300 черный</v>
      </c>
      <c r="B561"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300*±5мм.")</f>
        <v>Переход ГПД конструктивно состоит из двух наконечников, соединенных между собой металлорукавом (гибким переходом) 
IP40, Металлорукав РЗЦ Ø6мм, длина 300*±5мм.</v>
      </c>
      <c r="C561" s="9">
        <f ca="1">IFERROR(__xludf.DUMMYFUNCTION("""COMPUTED_VALUE"""),100.43)</f>
        <v>100.43</v>
      </c>
      <c r="D561" s="6"/>
      <c r="E561" s="8"/>
    </row>
    <row r="562" spans="1:5" ht="76.5">
      <c r="A562" s="5" t="str">
        <f ca="1">IFERROR(__xludf.DUMMYFUNCTION("""COMPUTED_VALUE"""),"Гибкий переход ГПД-400 черный")</f>
        <v>Гибкий переход ГПД-400 черный</v>
      </c>
      <c r="B562"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400*±5мм.")</f>
        <v>Переход ГПД конструктивно состоит из двух наконечников, соединенных между собой металлорукавом (гибким переходом) 
IP40, Металлорукав РЗЦ Ø6мм, длина 400*±5мм.</v>
      </c>
      <c r="C562" s="9">
        <f ca="1">IFERROR(__xludf.DUMMYFUNCTION("""COMPUTED_VALUE"""),108.9)</f>
        <v>108.9</v>
      </c>
      <c r="D562" s="6"/>
      <c r="E562" s="8"/>
    </row>
    <row r="563" spans="1:5" ht="76.5">
      <c r="A563" s="5" t="str">
        <f ca="1">IFERROR(__xludf.DUMMYFUNCTION("""COMPUTED_VALUE"""),"Гибкий переход ГПД-500 черный")</f>
        <v>Гибкий переход ГПД-500 черный</v>
      </c>
      <c r="B563" s="6" t="str">
        <f ca="1">IFERROR(__xludf.DUMMYFUNCTION("""COMPUTED_VALUE"""),"Переход ГПД конструктивно состоит из двух наконечников, соединенных между собой металлорукавом (гибким переходом) 
IP40, Металлорукав РЗЦ Ø6мм, длина 500*±5мм.")</f>
        <v>Переход ГПД конструктивно состоит из двух наконечников, соединенных между собой металлорукавом (гибким переходом) 
IP40, Металлорукав РЗЦ Ø6мм, длина 500*±5мм.</v>
      </c>
      <c r="C563" s="9">
        <f ca="1">IFERROR(__xludf.DUMMYFUNCTION("""COMPUTED_VALUE"""),123.42)</f>
        <v>123.42</v>
      </c>
      <c r="D563" s="6"/>
      <c r="E563" s="8"/>
    </row>
    <row r="564" spans="1:5" ht="76.5">
      <c r="A564" s="5" t="str">
        <f ca="1">IFERROR(__xludf.DUMMYFUNCTION("""COMPUTED_VALUE"""),"Выносной светодиод ВС")</f>
        <v>Выносной светодиод ВС</v>
      </c>
      <c r="B564" s="6" t="str">
        <f ca="1">IFERROR(__xludf.DUMMYFUNCTION("""COMPUTED_VALUE"""),"предназначен для круглосуточной работы и контроля наличия и определения полярности в питающих цепях. Напряжение в контролируемой цепи от 10 до 25 В или от 25 до 40 В, вывод 120мм, IP65")</f>
        <v>предназначен для круглосуточной работы и контроля наличия и определения полярности в питающих цепях. Напряжение в контролируемой цепи от 10 до 25 В или от 25 до 40 В, вывод 120мм, IP65</v>
      </c>
      <c r="C564" s="9">
        <f ca="1">IFERROR(__xludf.DUMMYFUNCTION("""COMPUTED_VALUE"""),60.907)</f>
        <v>60.906999999999996</v>
      </c>
      <c r="D564" s="6"/>
      <c r="E564" s="8"/>
    </row>
    <row r="565" spans="1:5" ht="140.25">
      <c r="A565" s="5" t="str">
        <f ca="1">IFERROR(__xludf.DUMMYFUNCTION("""COMPUTED_VALUE"""),"ИВС-3 (плата без корпуса) НЗ")</f>
        <v>ИВС-3 (плата без корпуса) НЗ</v>
      </c>
      <c r="B565" s="6" t="str">
        <f ca="1">IFERROR(__xludf.DUMMYFUNCTION("""COMPUTED_VALUE"""),"предназначен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сигнализа"&amp;"ции от 9 до 30 вольт с величиной тока короткого замыкания не более 20 мА. IP41")</f>
        <v>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сигнализации от 9 до 30 вольт с величиной тока короткого замыкания не более 20 мА. IP41</v>
      </c>
      <c r="C565" s="9">
        <f ca="1">IFERROR(__xludf.DUMMYFUNCTION("""COMPUTED_VALUE"""),155.727)</f>
        <v>155.727</v>
      </c>
      <c r="D565" s="6"/>
      <c r="E565" s="8"/>
    </row>
    <row r="566" spans="1:5" ht="140.25">
      <c r="A566" s="5" t="str">
        <f ca="1">IFERROR(__xludf.DUMMYFUNCTION("""COMPUTED_VALUE"""),"ИВС-3 Индикатор выносной светодиодный (НЗ)")</f>
        <v>ИВС-3 Индикатор выносной светодиодный (НЗ)</v>
      </c>
      <c r="B566" s="6" t="str">
        <f ca="1">IFERROR(__xludf.DUMMYFUNCTION("""COMPUTED_VALUE"""),"предназначен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сигнализа"&amp;"ции от 9 до 30 вольт с величиной тока короткого замыкания не более 20 мА. IP41")</f>
        <v>предназначен для индикации состояния «ДЕЖУРНЫЙ РЕЖИМ» и «ПОЖАР» в пожарных извещателях имеющих нормально замкнутый контакт термоэлемента.
 Индикатор предназначен для работы совместно с приемно-контрольными приборами, имеющими напряжение в шлейфе сигнализации от 9 до 30 вольт с величиной тока короткого замыкания не более 20 мА. IP41</v>
      </c>
      <c r="C566" s="9">
        <f ca="1">IFERROR(__xludf.DUMMYFUNCTION("""COMPUTED_VALUE"""),170.533)</f>
        <v>170.53299999999999</v>
      </c>
      <c r="D566" s="6"/>
      <c r="E566" s="8"/>
    </row>
    <row r="567" spans="1:5" ht="12.75">
      <c r="A567" s="5" t="str">
        <f ca="1">IFERROR(__xludf.DUMMYFUNCTION("""COMPUTED_VALUE"""),"ИП 114-50-50°С• НЗ (без светод)")</f>
        <v>ИП 114-50-50°С• НЗ (без светод)</v>
      </c>
      <c r="B567" s="6" t="str">
        <f ca="1">IFERROR(__xludf.DUMMYFUNCTION("""COMPUTED_VALUE"""),"46-52°С. Контакты норм.замкн.")</f>
        <v>46-52°С. Контакты норм.замкн.</v>
      </c>
      <c r="C567" s="9">
        <f ca="1">IFERROR(__xludf.DUMMYFUNCTION("""COMPUTED_VALUE"""),177.6852)</f>
        <v>177.68520000000001</v>
      </c>
      <c r="D567" s="6"/>
      <c r="E567" s="8"/>
    </row>
    <row r="568" spans="1:5" ht="12.75">
      <c r="A568" s="5" t="str">
        <f ca="1">IFERROR(__xludf.DUMMYFUNCTION("""COMPUTED_VALUE"""),"ИП 114-50-50°С•• НР (без светод)")</f>
        <v>ИП 114-50-50°С•• НР (без светод)</v>
      </c>
      <c r="B568" s="6" t="str">
        <f ca="1">IFERROR(__xludf.DUMMYFUNCTION("""COMPUTED_VALUE"""),"46-52°С. Контакты норм.разомкн.")</f>
        <v>46-52°С. Контакты норм.разомкн.</v>
      </c>
      <c r="C568" s="9">
        <f ca="1">IFERROR(__xludf.DUMMYFUNCTION("""COMPUTED_VALUE"""),249.21435)</f>
        <v>249.21435</v>
      </c>
      <c r="D568" s="6"/>
      <c r="E568" s="8"/>
    </row>
    <row r="569" spans="1:5" ht="12.75">
      <c r="A569" s="5" t="str">
        <f ca="1">IFERROR(__xludf.DUMMYFUNCTION("""COMPUTED_VALUE"""),"ИП 114-50-А1• НЗ (без светод)")</f>
        <v>ИП 114-50-А1• НЗ (без светод)</v>
      </c>
      <c r="B569" s="6" t="str">
        <f ca="1">IFERROR(__xludf.DUMMYFUNCTION("""COMPUTED_VALUE"""),"54-65°С. Контакты норм.замкн.")</f>
        <v>54-65°С. Контакты норм.замкн.</v>
      </c>
      <c r="C569" s="9">
        <f ca="1">IFERROR(__xludf.DUMMYFUNCTION("""COMPUTED_VALUE"""),138.6)</f>
        <v>138.6</v>
      </c>
      <c r="D569" s="6"/>
      <c r="E569" s="8"/>
    </row>
    <row r="570" spans="1:5" ht="12.75">
      <c r="A570" s="5" t="str">
        <f ca="1">IFERROR(__xludf.DUMMYFUNCTION("""COMPUTED_VALUE"""),"ИП 114-50-А1•• НР (без светод)")</f>
        <v>ИП 114-50-А1•• НР (без светод)</v>
      </c>
      <c r="B570" s="6" t="str">
        <f ca="1">IFERROR(__xludf.DUMMYFUNCTION("""COMPUTED_VALUE"""),"54-65°С. Контакты норм.разомкн.")</f>
        <v>54-65°С. Контакты норм.разомкн.</v>
      </c>
      <c r="C570" s="9">
        <f ca="1">IFERROR(__xludf.DUMMYFUNCTION("""COMPUTED_VALUE"""),189.2583)</f>
        <v>189.25829999999999</v>
      </c>
      <c r="D570" s="6"/>
      <c r="E570" s="8"/>
    </row>
    <row r="571" spans="1:5" ht="12.75">
      <c r="A571" s="5" t="str">
        <f ca="1">IFERROR(__xludf.DUMMYFUNCTION("""COMPUTED_VALUE"""),"ИП 114-50-А2• НЗ (без светод)")</f>
        <v>ИП 114-50-А2• НЗ (без светод)</v>
      </c>
      <c r="B571" s="6" t="str">
        <f ca="1">IFERROR(__xludf.DUMMYFUNCTION("""COMPUTED_VALUE"""),"54-70°С. Контакты норм.замкн.")</f>
        <v>54-70°С. Контакты норм.замкн.</v>
      </c>
      <c r="C571" s="9">
        <f ca="1">IFERROR(__xludf.DUMMYFUNCTION("""COMPUTED_VALUE"""),138.6)</f>
        <v>138.6</v>
      </c>
      <c r="D571" s="6"/>
      <c r="E571" s="8"/>
    </row>
    <row r="572" spans="1:5" ht="12.75">
      <c r="A572" s="5" t="str">
        <f ca="1">IFERROR(__xludf.DUMMYFUNCTION("""COMPUTED_VALUE"""),"ИП 114-50-А2•• НР (без светод)")</f>
        <v>ИП 114-50-А2•• НР (без светод)</v>
      </c>
      <c r="B572" s="6" t="str">
        <f ca="1">IFERROR(__xludf.DUMMYFUNCTION("""COMPUTED_VALUE"""),"54-70°С. Контакты норм.разомкн.")</f>
        <v>54-70°С. Контакты норм.разомкн.</v>
      </c>
      <c r="C572" s="9">
        <f ca="1">IFERROR(__xludf.DUMMYFUNCTION("""COMPUTED_VALUE"""),189.2583)</f>
        <v>189.25829999999999</v>
      </c>
      <c r="D572" s="6"/>
      <c r="E572" s="8"/>
    </row>
    <row r="573" spans="1:5" ht="12.75">
      <c r="A573" s="5" t="str">
        <f ca="1">IFERROR(__xludf.DUMMYFUNCTION("""COMPUTED_VALUE"""),"ИП 114-50-А3• НЗ (без светод)")</f>
        <v>ИП 114-50-А3• НЗ (без светод)</v>
      </c>
      <c r="B573" s="6" t="str">
        <f ca="1">IFERROR(__xludf.DUMMYFUNCTION("""COMPUTED_VALUE"""),"64-76°С. Контакты норм.замкн.")</f>
        <v>64-76°С. Контакты норм.замкн.</v>
      </c>
      <c r="C573" s="9">
        <f ca="1">IFERROR(__xludf.DUMMYFUNCTION("""COMPUTED_VALUE"""),107.184)</f>
        <v>107.184</v>
      </c>
      <c r="D573" s="6"/>
      <c r="E573" s="8"/>
    </row>
    <row r="574" spans="1:5" ht="12.75">
      <c r="A574" s="5" t="str">
        <f ca="1">IFERROR(__xludf.DUMMYFUNCTION("""COMPUTED_VALUE"""),"ИП 114-50-А3•• НР (без светод)")</f>
        <v>ИП 114-50-А3•• НР (без светод)</v>
      </c>
      <c r="B574" s="6" t="str">
        <f ca="1">IFERROR(__xludf.DUMMYFUNCTION("""COMPUTED_VALUE"""),"64-76°С. Контакты норм.разомкн.")</f>
        <v>64-76°С. Контакты норм.разомкн.</v>
      </c>
      <c r="C574" s="9">
        <f ca="1">IFERROR(__xludf.DUMMYFUNCTION("""COMPUTED_VALUE"""),136.29)</f>
        <v>136.29</v>
      </c>
      <c r="D574" s="6"/>
      <c r="E574" s="8"/>
    </row>
    <row r="575" spans="1:5" ht="12.75">
      <c r="A575" s="5" t="str">
        <f ca="1">IFERROR(__xludf.DUMMYFUNCTION("""COMPUTED_VALUE"""),"ИП 114-50-В• НЗ (без светод)")</f>
        <v>ИП 114-50-В• НЗ (без светод)</v>
      </c>
      <c r="B575" s="6" t="str">
        <f ca="1">IFERROR(__xludf.DUMMYFUNCTION("""COMPUTED_VALUE"""),"69-85°С. Контакты норм.замкн.")</f>
        <v>69-85°С. Контакты норм.замкн.</v>
      </c>
      <c r="C575" s="9">
        <f ca="1">IFERROR(__xludf.DUMMYFUNCTION("""COMPUTED_VALUE"""),161.7)</f>
        <v>161.69999999999999</v>
      </c>
      <c r="D575" s="6"/>
      <c r="E575" s="8"/>
    </row>
    <row r="576" spans="1:5" ht="12.75">
      <c r="A576" s="5" t="str">
        <f ca="1">IFERROR(__xludf.DUMMYFUNCTION("""COMPUTED_VALUE"""),"ИП 114-50-В•• НР (без светод)")</f>
        <v>ИП 114-50-В•• НР (без светод)</v>
      </c>
      <c r="B576" s="6" t="str">
        <f ca="1">IFERROR(__xludf.DUMMYFUNCTION("""COMPUTED_VALUE"""),"69-85°С. Контакты норм.разомкн.")</f>
        <v>69-85°С. Контакты норм.разомкн.</v>
      </c>
      <c r="C576" s="9">
        <f ca="1">IFERROR(__xludf.DUMMYFUNCTION("""COMPUTED_VALUE"""),189.2583)</f>
        <v>189.25829999999999</v>
      </c>
      <c r="D576" s="6"/>
      <c r="E576" s="8"/>
    </row>
    <row r="577" spans="1:5" ht="12.75">
      <c r="A577" s="5" t="str">
        <f ca="1">IFERROR(__xludf.DUMMYFUNCTION("""COMPUTED_VALUE"""),"ИП 114-50-С• НЗ (без светод)")</f>
        <v>ИП 114-50-С• НЗ (без светод)</v>
      </c>
      <c r="B577" s="6" t="str">
        <f ca="1">IFERROR(__xludf.DUMMYFUNCTION("""COMPUTED_VALUE"""),"84-100°С. Контакты норм.замкн.")</f>
        <v>84-100°С. Контакты норм.замкн.</v>
      </c>
      <c r="C577" s="9">
        <f ca="1">IFERROR(__xludf.DUMMYFUNCTION("""COMPUTED_VALUE"""),401.709)</f>
        <v>401.709</v>
      </c>
      <c r="D577" s="6"/>
      <c r="E577" s="8"/>
    </row>
    <row r="578" spans="1:5" ht="12.75">
      <c r="A578" s="5" t="str">
        <f ca="1">IFERROR(__xludf.DUMMYFUNCTION("""COMPUTED_VALUE"""),"ИП 114-50-С•• НР (без светод)")</f>
        <v>ИП 114-50-С•• НР (без светод)</v>
      </c>
      <c r="B578" s="6" t="str">
        <f ca="1">IFERROR(__xludf.DUMMYFUNCTION("""COMPUTED_VALUE"""),"84-100°С. Контакты норм.разомкн.")</f>
        <v>84-100°С. Контакты норм.разомкн.</v>
      </c>
      <c r="C578" s="9">
        <f ca="1">IFERROR(__xludf.DUMMYFUNCTION("""COMPUTED_VALUE"""),444.675)</f>
        <v>444.67500000000001</v>
      </c>
      <c r="D578" s="6"/>
      <c r="E578" s="8"/>
    </row>
    <row r="579" spans="1:5" ht="12.75">
      <c r="A579" s="5" t="str">
        <f ca="1">IFERROR(__xludf.DUMMYFUNCTION("""COMPUTED_VALUE"""),"ИП 114-50-D• НЗ (без светод)")</f>
        <v>ИП 114-50-D• НЗ (без светод)</v>
      </c>
      <c r="B579" s="6" t="str">
        <f ca="1">IFERROR(__xludf.DUMMYFUNCTION("""COMPUTED_VALUE"""),"99-115°С. Контакты норм.замкн.")</f>
        <v>99-115°С. Контакты норм.замкн.</v>
      </c>
      <c r="C579" s="9">
        <f ca="1">IFERROR(__xludf.DUMMYFUNCTION("""COMPUTED_VALUE"""),401.7321)</f>
        <v>401.7321</v>
      </c>
      <c r="D579" s="6"/>
      <c r="E579" s="8"/>
    </row>
    <row r="580" spans="1:5" ht="12.75">
      <c r="A580" s="5" t="str">
        <f ca="1">IFERROR(__xludf.DUMMYFUNCTION("""COMPUTED_VALUE"""),"ИП 114-50-D•• НР (без светод)")</f>
        <v>ИП 114-50-D•• НР (без светод)</v>
      </c>
      <c r="B580" s="6" t="str">
        <f ca="1">IFERROR(__xludf.DUMMYFUNCTION("""COMPUTED_VALUE"""),"99-115°С. Контакты норм.разомкн.")</f>
        <v>99-115°С. Контакты норм.разомкн.</v>
      </c>
      <c r="C580" s="9">
        <f ca="1">IFERROR(__xludf.DUMMYFUNCTION("""COMPUTED_VALUE"""),444.675)</f>
        <v>444.67500000000001</v>
      </c>
      <c r="D580" s="6"/>
      <c r="E580" s="8"/>
    </row>
    <row r="581" spans="1:5" ht="12.75">
      <c r="A581" s="5" t="str">
        <f ca="1">IFERROR(__xludf.DUMMYFUNCTION("""COMPUTED_VALUE"""),"ИП 114-50-E• НЗ (без светод)")</f>
        <v>ИП 114-50-E• НЗ (без светод)</v>
      </c>
      <c r="B581" s="6" t="str">
        <f ca="1">IFERROR(__xludf.DUMMYFUNCTION("""COMPUTED_VALUE"""),"114-130°С. Контакты норм.замкн.")</f>
        <v>114-130°С. Контакты норм.замкн.</v>
      </c>
      <c r="C581" s="9">
        <f ca="1">IFERROR(__xludf.DUMMYFUNCTION("""COMPUTED_VALUE"""),653.499)</f>
        <v>653.49900000000002</v>
      </c>
      <c r="D581" s="6"/>
      <c r="E581" s="8"/>
    </row>
    <row r="582" spans="1:5" ht="12.75">
      <c r="A582" s="5" t="str">
        <f ca="1">IFERROR(__xludf.DUMMYFUNCTION("""COMPUTED_VALUE"""),"ИП 114-50-E•• НР (без светод)")</f>
        <v>ИП 114-50-E•• НР (без светод)</v>
      </c>
      <c r="B582" s="6" t="str">
        <f ca="1">IFERROR(__xludf.DUMMYFUNCTION("""COMPUTED_VALUE"""),"114-130°С. Контакты норм.разомкн.")</f>
        <v>114-130°С. Контакты норм.разомкн.</v>
      </c>
      <c r="C582" s="9">
        <f ca="1">IFERROR(__xludf.DUMMYFUNCTION("""COMPUTED_VALUE"""),693.462)</f>
        <v>693.46199999999999</v>
      </c>
      <c r="D582" s="6"/>
      <c r="E582" s="8"/>
    </row>
    <row r="583" spans="1:5" ht="12.75">
      <c r="A583" s="5" t="str">
        <f ca="1">IFERROR(__xludf.DUMMYFUNCTION("""COMPUTED_VALUE"""),"ИП 114-50-F• НЗ (без светод)")</f>
        <v>ИП 114-50-F• НЗ (без светод)</v>
      </c>
      <c r="B583" s="6" t="str">
        <f ca="1">IFERROR(__xludf.DUMMYFUNCTION("""COMPUTED_VALUE"""),"129-145°С. Контакты норм.замкн.")</f>
        <v>129-145°С. Контакты норм.замкн.</v>
      </c>
      <c r="C583" s="9">
        <f ca="1">IFERROR(__xludf.DUMMYFUNCTION("""COMPUTED_VALUE"""),762.3)</f>
        <v>762.3</v>
      </c>
      <c r="D583" s="6"/>
      <c r="E583" s="8"/>
    </row>
    <row r="584" spans="1:5" ht="12.75">
      <c r="A584" s="5" t="str">
        <f ca="1">IFERROR(__xludf.DUMMYFUNCTION("""COMPUTED_VALUE"""),"ИП 114-50-F•• НР (без светод)")</f>
        <v>ИП 114-50-F•• НР (без светод)</v>
      </c>
      <c r="B584" s="6" t="str">
        <f ca="1">IFERROR(__xludf.DUMMYFUNCTION("""COMPUTED_VALUE"""),"129-145°С. Контакты норм.разомкн.")</f>
        <v>129-145°С. Контакты норм.разомкн.</v>
      </c>
      <c r="C584" s="9">
        <f ca="1">IFERROR(__xludf.DUMMYFUNCTION("""COMPUTED_VALUE"""),789.40785)</f>
        <v>789.40785000000005</v>
      </c>
      <c r="D584" s="6"/>
      <c r="E584" s="8"/>
    </row>
    <row r="585" spans="1:5" ht="12.75">
      <c r="A585" s="5" t="str">
        <f ca="1">IFERROR(__xludf.DUMMYFUNCTION("""COMPUTED_VALUE"""),"ИП 114-50-G• НЗ (без светод)")</f>
        <v>ИП 114-50-G• НЗ (без светод)</v>
      </c>
      <c r="B585" s="6" t="str">
        <f ca="1">IFERROR(__xludf.DUMMYFUNCTION("""COMPUTED_VALUE"""),"144-160°С. Контакты норм.замкн.")</f>
        <v>144-160°С. Контакты норм.замкн.</v>
      </c>
      <c r="C585" s="9">
        <f ca="1">IFERROR(__xludf.DUMMYFUNCTION("""COMPUTED_VALUE"""),717.4629)</f>
        <v>717.46289999999999</v>
      </c>
      <c r="D585" s="6"/>
      <c r="E585" s="8"/>
    </row>
    <row r="586" spans="1:5" ht="12.75">
      <c r="A586" s="5" t="str">
        <f ca="1">IFERROR(__xludf.DUMMYFUNCTION("""COMPUTED_VALUE"""),"ИП 114-50-G•• НР (без светод)")</f>
        <v>ИП 114-50-G•• НР (без светод)</v>
      </c>
      <c r="B586" s="6" t="str">
        <f ca="1">IFERROR(__xludf.DUMMYFUNCTION("""COMPUTED_VALUE"""),"144-160°С. Контакты норм.разомкн.")</f>
        <v>144-160°С. Контакты норм.разомкн.</v>
      </c>
      <c r="C586" s="9">
        <f ca="1">IFERROR(__xludf.DUMMYFUNCTION("""COMPUTED_VALUE"""),759.4125)</f>
        <v>759.41250000000002</v>
      </c>
      <c r="D586" s="6"/>
      <c r="E586" s="8"/>
    </row>
    <row r="587" spans="1:5" ht="12.75">
      <c r="A587" s="5" t="str">
        <f ca="1">IFERROR(__xludf.DUMMYFUNCTION("""COMPUTED_VALUE"""),"ИП 114-50-Н")</f>
        <v>ИП 114-50-Н</v>
      </c>
      <c r="B587" s="6" t="str">
        <f ca="1">IFERROR(__xludf.DUMMYFUNCTION("""COMPUTED_VALUE"""),"46-52°С, без индикации")</f>
        <v>46-52°С, без индикации</v>
      </c>
      <c r="C587" s="9">
        <f ca="1">IFERROR(__xludf.DUMMYFUNCTION("""COMPUTED_VALUE"""),178.5)</f>
        <v>178.5</v>
      </c>
      <c r="D587" s="6"/>
      <c r="E587" s="8"/>
    </row>
    <row r="588" spans="1:5" ht="25.5">
      <c r="A588" s="5" t="str">
        <f ca="1">IFERROR(__xludf.DUMMYFUNCTION("""COMPUTED_VALUE"""),"ИП 114-50-Н АЛАБАЙ")</f>
        <v>ИП 114-50-Н АЛАБАЙ</v>
      </c>
      <c r="B588" s="6" t="str">
        <f ca="1">IFERROR(__xludf.DUMMYFUNCTION("""COMPUTED_VALUE"""),"46-52°С, имеет выносное устройство индикации ИВС-3")</f>
        <v>46-52°С, имеет выносное устройство индикации ИВС-3</v>
      </c>
      <c r="C588" s="9">
        <f ca="1">IFERROR(__xludf.DUMMYFUNCTION("""COMPUTED_VALUE"""),336)</f>
        <v>336</v>
      </c>
      <c r="D588" s="6"/>
      <c r="E588" s="8"/>
    </row>
    <row r="589" spans="1:5" ht="12.75">
      <c r="A589" s="5" t="str">
        <f ca="1">IFERROR(__xludf.DUMMYFUNCTION("""COMPUTED_VALUE"""),"ИП 114-50-Н АЯКС")</f>
        <v>ИП 114-50-Н АЯКС</v>
      </c>
      <c r="B589" s="6" t="str">
        <f ca="1">IFERROR(__xludf.DUMMYFUNCTION("""COMPUTED_VALUE"""),"46-52°С, имеет встроенную индикацию")</f>
        <v>46-52°С, имеет встроенную индикацию</v>
      </c>
      <c r="C589" s="9">
        <f ca="1">IFERROR(__xludf.DUMMYFUNCTION("""COMPUTED_VALUE"""),357)</f>
        <v>357</v>
      </c>
      <c r="D589" s="6"/>
      <c r="E589" s="8"/>
    </row>
    <row r="590" spans="1:5" ht="12.75">
      <c r="A590" s="5" t="str">
        <f ca="1">IFERROR(__xludf.DUMMYFUNCTION("""COMPUTED_VALUE"""),"ИП 114-50-А1• НЗ 0ExiaIIС Т6...Т3 GaХ")</f>
        <v>ИП 114-50-А1• НЗ 0ExiaIIС Т6...Т3 GaХ</v>
      </c>
      <c r="B590" s="6" t="str">
        <f ca="1">IFERROR(__xludf.DUMMYFUNCTION("""COMPUTED_VALUE"""),"54-65°С. Контакты норм.замкн.")</f>
        <v>54-65°С. Контакты норм.замкн.</v>
      </c>
      <c r="C590" s="9">
        <f ca="1">IFERROR(__xludf.DUMMYFUNCTION("""COMPUTED_VALUE"""),498.6135)</f>
        <v>498.61349999999999</v>
      </c>
      <c r="D590" s="6"/>
      <c r="E590" s="8"/>
    </row>
    <row r="591" spans="1:5" ht="12.75">
      <c r="A591" s="5" t="str">
        <f ca="1">IFERROR(__xludf.DUMMYFUNCTION("""COMPUTED_VALUE"""),"ИП 114-50-А1•• НР 0ExiaIIС Т6...Т3 GaХ")</f>
        <v>ИП 114-50-А1•• НР 0ExiaIIС Т6...Т3 GaХ</v>
      </c>
      <c r="B591" s="6" t="str">
        <f ca="1">IFERROR(__xludf.DUMMYFUNCTION("""COMPUTED_VALUE"""),"54-65°С. Контакты норм.разомкн.")</f>
        <v>54-65°С. Контакты норм.разомкн.</v>
      </c>
      <c r="C591" s="9">
        <f ca="1">IFERROR(__xludf.DUMMYFUNCTION("""COMPUTED_VALUE"""),681.45)</f>
        <v>681.45</v>
      </c>
      <c r="D591" s="6"/>
      <c r="E591" s="8"/>
    </row>
    <row r="592" spans="1:5" ht="12.75">
      <c r="A592" s="5" t="str">
        <f ca="1">IFERROR(__xludf.DUMMYFUNCTION("""COMPUTED_VALUE"""),"ИП 114-50-А2• НЗ 0ExiaIIС Т6...Т3 GaХ")</f>
        <v>ИП 114-50-А2• НЗ 0ExiaIIС Т6...Т3 GaХ</v>
      </c>
      <c r="B592" s="6" t="str">
        <f ca="1">IFERROR(__xludf.DUMMYFUNCTION("""COMPUTED_VALUE"""),"54-70°С. Контакты норм.замкн.")</f>
        <v>54-70°С. Контакты норм.замкн.</v>
      </c>
      <c r="C592" s="9">
        <f ca="1">IFERROR(__xludf.DUMMYFUNCTION("""COMPUTED_VALUE"""),498.6135)</f>
        <v>498.61349999999999</v>
      </c>
      <c r="D592" s="6"/>
      <c r="E592" s="8"/>
    </row>
    <row r="593" spans="1:5" ht="12.75">
      <c r="A593" s="5" t="str">
        <f ca="1">IFERROR(__xludf.DUMMYFUNCTION("""COMPUTED_VALUE"""),"ИП 114-50-А2•• НР 0ExiaIIС Т6...Т3 GaХ")</f>
        <v>ИП 114-50-А2•• НР 0ExiaIIС Т6...Т3 GaХ</v>
      </c>
      <c r="B593" s="6" t="str">
        <f ca="1">IFERROR(__xludf.DUMMYFUNCTION("""COMPUTED_VALUE"""),"54-70°С. Контакты норм.разомкн.")</f>
        <v>54-70°С. Контакты норм.разомкн.</v>
      </c>
      <c r="C593" s="9">
        <f ca="1">IFERROR(__xludf.DUMMYFUNCTION("""COMPUTED_VALUE"""),681.45)</f>
        <v>681.45</v>
      </c>
      <c r="D593" s="6"/>
      <c r="E593" s="8"/>
    </row>
    <row r="594" spans="1:5" ht="12.75">
      <c r="A594" s="5" t="str">
        <f ca="1">IFERROR(__xludf.DUMMYFUNCTION("""COMPUTED_VALUE"""),"ИП 114-50-А3• НЗ 0ExiaIIС Т6...Т3 GaХ")</f>
        <v>ИП 114-50-А3• НЗ 0ExiaIIС Т6...Т3 GaХ</v>
      </c>
      <c r="B594" s="6" t="str">
        <f ca="1">IFERROR(__xludf.DUMMYFUNCTION("""COMPUTED_VALUE"""),"64-76°С. Контакты норм.замкн.")</f>
        <v>64-76°С. Контакты норм.замкн.</v>
      </c>
      <c r="C594" s="9">
        <f ca="1">IFERROR(__xludf.DUMMYFUNCTION("""COMPUTED_VALUE"""),394.74435)</f>
        <v>394.74435</v>
      </c>
      <c r="D594" s="6"/>
      <c r="E594" s="8"/>
    </row>
    <row r="595" spans="1:5" ht="12.75">
      <c r="A595" s="5" t="str">
        <f ca="1">IFERROR(__xludf.DUMMYFUNCTION("""COMPUTED_VALUE"""),"ИП 114-50-А3•• НР 0ExiaIIС Т6...Т3 GaХ")</f>
        <v>ИП 114-50-А3•• НР 0ExiaIIС Т6...Т3 GaХ</v>
      </c>
      <c r="B595" s="6" t="str">
        <f ca="1">IFERROR(__xludf.DUMMYFUNCTION("""COMPUTED_VALUE"""),"64-76°С. Контакты норм.разомкн.")</f>
        <v>64-76°С. Контакты норм.разомкн.</v>
      </c>
      <c r="C595" s="9">
        <f ca="1">IFERROR(__xludf.DUMMYFUNCTION("""COMPUTED_VALUE"""),490.182)</f>
        <v>490.18200000000002</v>
      </c>
      <c r="D595" s="6"/>
      <c r="E595" s="8"/>
    </row>
    <row r="596" spans="1:5" ht="12.75">
      <c r="A596" s="5" t="str">
        <f ca="1">IFERROR(__xludf.DUMMYFUNCTION("""COMPUTED_VALUE"""),"ИП 114-50-В• НЗ 0ExiaIIС Т6...Т3 GaХ")</f>
        <v>ИП 114-50-В• НЗ 0ExiaIIС Т6...Т3 GaХ</v>
      </c>
      <c r="B596" s="6" t="str">
        <f ca="1">IFERROR(__xludf.DUMMYFUNCTION("""COMPUTED_VALUE"""),"69-85°С. Контакты норм.замкн.")</f>
        <v>69-85°С. Контакты норм.замкн.</v>
      </c>
      <c r="C596" s="9">
        <f ca="1">IFERROR(__xludf.DUMMYFUNCTION("""COMPUTED_VALUE"""),581.7966)</f>
        <v>581.79660000000001</v>
      </c>
      <c r="D596" s="6"/>
      <c r="E596" s="8"/>
    </row>
    <row r="597" spans="1:5" ht="12.75">
      <c r="A597" s="5" t="str">
        <f ca="1">IFERROR(__xludf.DUMMYFUNCTION("""COMPUTED_VALUE"""),"ИП 114-50-В•• НР 0ExiaIIС Т6...Т3 GaХ")</f>
        <v>ИП 114-50-В•• НР 0ExiaIIС Т6...Т3 GaХ</v>
      </c>
      <c r="B597" s="6" t="str">
        <f ca="1">IFERROR(__xludf.DUMMYFUNCTION("""COMPUTED_VALUE"""),"69-85°С. Контакты норм.разомкн.")</f>
        <v>69-85°С. Контакты норм.разомкн.</v>
      </c>
      <c r="C597" s="9">
        <f ca="1">IFERROR(__xludf.DUMMYFUNCTION("""COMPUTED_VALUE"""),681.45)</f>
        <v>681.45</v>
      </c>
      <c r="D597" s="6"/>
      <c r="E597" s="8"/>
    </row>
    <row r="598" spans="1:5" ht="12.75">
      <c r="A598" s="5" t="str">
        <f ca="1">IFERROR(__xludf.DUMMYFUNCTION("""COMPUTED_VALUE"""),"ИП 114-50-С• НЗ 0ExiaIIС Т6...Т3 GaХ")</f>
        <v>ИП 114-50-С• НЗ 0ExiaIIС Т6...Т3 GaХ</v>
      </c>
      <c r="B598" s="6" t="str">
        <f ca="1">IFERROR(__xludf.DUMMYFUNCTION("""COMPUTED_VALUE"""),"84-100°С. Контакты норм.замкн.")</f>
        <v>84-100°С. Контакты норм.замкн.</v>
      </c>
      <c r="C598" s="9">
        <f ca="1">IFERROR(__xludf.DUMMYFUNCTION("""COMPUTED_VALUE"""),1446.06)</f>
        <v>1446.06</v>
      </c>
      <c r="D598" s="6"/>
      <c r="E598" s="8"/>
    </row>
    <row r="599" spans="1:5" ht="12.75">
      <c r="A599" s="5" t="str">
        <f ca="1">IFERROR(__xludf.DUMMYFUNCTION("""COMPUTED_VALUE"""),"ИП 114-50-С•• НР 0ExiaIIС Т6...Т3 GaХ")</f>
        <v>ИП 114-50-С•• НР 0ExiaIIС Т6...Т3 GaХ</v>
      </c>
      <c r="B599" s="6" t="str">
        <f ca="1">IFERROR(__xludf.DUMMYFUNCTION("""COMPUTED_VALUE"""),"84-100°С. Контакты норм.разомкн.")</f>
        <v>84-100°С. Контакты норм.разомкн.</v>
      </c>
      <c r="C599" s="9">
        <f ca="1">IFERROR(__xludf.DUMMYFUNCTION("""COMPUTED_VALUE"""),1594.824)</f>
        <v>1594.8240000000001</v>
      </c>
      <c r="D599" s="6"/>
      <c r="E599" s="8"/>
    </row>
    <row r="600" spans="1:5" ht="12.75">
      <c r="A600" s="5" t="str">
        <f ca="1">IFERROR(__xludf.DUMMYFUNCTION("""COMPUTED_VALUE"""),"ИП 114-50-D• НЗ 0ExiaIIС Т6...Т3 GaХ")</f>
        <v>ИП 114-50-D• НЗ 0ExiaIIС Т6...Т3 GaХ</v>
      </c>
      <c r="B600" s="6" t="str">
        <f ca="1">IFERROR(__xludf.DUMMYFUNCTION("""COMPUTED_VALUE"""),"99-115°С. Контакты норм.замкн.")</f>
        <v>99-115°С. Контакты норм.замкн.</v>
      </c>
      <c r="C600" s="9">
        <f ca="1">IFERROR(__xludf.DUMMYFUNCTION("""COMPUTED_VALUE"""),1446.06)</f>
        <v>1446.06</v>
      </c>
      <c r="D600" s="6"/>
      <c r="E600" s="8"/>
    </row>
    <row r="601" spans="1:5" ht="12.75">
      <c r="A601" s="5" t="str">
        <f ca="1">IFERROR(__xludf.DUMMYFUNCTION("""COMPUTED_VALUE"""),"ИП 114-50-D•• НР 0ExiaIIС Т6...Т3 GaХ")</f>
        <v>ИП 114-50-D•• НР 0ExiaIIС Т6...Т3 GaХ</v>
      </c>
      <c r="B601" s="6" t="str">
        <f ca="1">IFERROR(__xludf.DUMMYFUNCTION("""COMPUTED_VALUE"""),"99-115°С. Контакты норм.разомкн.")</f>
        <v>99-115°С. Контакты норм.разомкн.</v>
      </c>
      <c r="C601" s="9">
        <f ca="1">IFERROR(__xludf.DUMMYFUNCTION("""COMPUTED_VALUE"""),1594.824)</f>
        <v>1594.8240000000001</v>
      </c>
      <c r="D601" s="6"/>
      <c r="E601" s="8"/>
    </row>
    <row r="602" spans="1:5" ht="12.75">
      <c r="A602" s="5" t="str">
        <f ca="1">IFERROR(__xludf.DUMMYFUNCTION("""COMPUTED_VALUE"""),"ИП 114-50-E• НЗ 0ExiaIIС Т6...Т3 GaХ")</f>
        <v>ИП 114-50-E• НЗ 0ExiaIIС Т6...Т3 GaХ</v>
      </c>
      <c r="B602" s="6" t="str">
        <f ca="1">IFERROR(__xludf.DUMMYFUNCTION("""COMPUTED_VALUE"""),"114-130°С. Контакты норм.замкн.")</f>
        <v>114-130°С. Контакты норм.замкн.</v>
      </c>
      <c r="C602" s="9">
        <f ca="1">IFERROR(__xludf.DUMMYFUNCTION("""COMPUTED_VALUE"""),2350.2402)</f>
        <v>2350.2402000000002</v>
      </c>
      <c r="D602" s="6"/>
      <c r="E602" s="8"/>
    </row>
    <row r="603" spans="1:5" ht="12.75">
      <c r="A603" s="5" t="str">
        <f ca="1">IFERROR(__xludf.DUMMYFUNCTION("""COMPUTED_VALUE"""),"ИП 114-50-E•• НР 0ExiaIIС Т6...Т3 GaХ")</f>
        <v>ИП 114-50-E•• НР 0ExiaIIС Т6...Т3 GaХ</v>
      </c>
      <c r="B603" s="6" t="str">
        <f ca="1">IFERROR(__xludf.DUMMYFUNCTION("""COMPUTED_VALUE"""),"114-130°С. Контакты норм.разомкн.")</f>
        <v>114-130°С. Контакты норм.разомкн.</v>
      </c>
      <c r="C603" s="9">
        <f ca="1">IFERROR(__xludf.DUMMYFUNCTION("""COMPUTED_VALUE"""),2494.107)</f>
        <v>2494.107</v>
      </c>
      <c r="D603" s="6"/>
      <c r="E603" s="8"/>
    </row>
    <row r="604" spans="1:5" ht="12.75">
      <c r="A604" s="5" t="str">
        <f ca="1">IFERROR(__xludf.DUMMYFUNCTION("""COMPUTED_VALUE"""),"ИП 114-50-F• НЗ 0ExiaIIС Т6...Т3 GaХ")</f>
        <v>ИП 114-50-F• НЗ 0ExiaIIС Т6...Т3 GaХ</v>
      </c>
      <c r="B604" s="6" t="str">
        <f ca="1">IFERROR(__xludf.DUMMYFUNCTION("""COMPUTED_VALUE"""),"129-145°С. Контакты норм.замкн.")</f>
        <v>129-145°С. Контакты норм.замкн.</v>
      </c>
      <c r="C604" s="9">
        <f ca="1">IFERROR(__xludf.DUMMYFUNCTION("""COMPUTED_VALUE"""),2742.35115)</f>
        <v>2742.35115</v>
      </c>
      <c r="D604" s="6"/>
      <c r="E604" s="8"/>
    </row>
    <row r="605" spans="1:5" ht="12.75">
      <c r="A605" s="5" t="str">
        <f ca="1">IFERROR(__xludf.DUMMYFUNCTION("""COMPUTED_VALUE"""),"ИП 114-50-F•• НР 0ExiaIIС Т6...Т3 GaХ")</f>
        <v>ИП 114-50-F•• НР 0ExiaIIС Т6...Т3 GaХ</v>
      </c>
      <c r="B605" s="6" t="str">
        <f ca="1">IFERROR(__xludf.DUMMYFUNCTION("""COMPUTED_VALUE"""),"129-145°С. Контакты норм.разомкн.")</f>
        <v>129-145°С. Контакты норм.разомкн.</v>
      </c>
      <c r="C605" s="9">
        <f ca="1">IFERROR(__xludf.DUMMYFUNCTION("""COMPUTED_VALUE"""),2841.3)</f>
        <v>2841.3</v>
      </c>
      <c r="D605" s="6"/>
      <c r="E605" s="8"/>
    </row>
    <row r="606" spans="1:5" ht="12.75">
      <c r="A606" s="5" t="str">
        <f ca="1">IFERROR(__xludf.DUMMYFUNCTION("""COMPUTED_VALUE"""),"ИП 114-50-G• НЗ 0ExiaIIС Т6...Т3 GaХ")</f>
        <v>ИП 114-50-G• НЗ 0ExiaIIС Т6...Т3 GaХ</v>
      </c>
      <c r="B606" s="6" t="str">
        <f ca="1">IFERROR(__xludf.DUMMYFUNCTION("""COMPUTED_VALUE"""),"144-160°С. Контакты норм.замкн.")</f>
        <v>144-160°С. Контакты норм.замкн.</v>
      </c>
      <c r="C606" s="9">
        <f ca="1">IFERROR(__xludf.DUMMYFUNCTION("""COMPUTED_VALUE"""),2582.84565)</f>
        <v>2582.8456500000002</v>
      </c>
      <c r="D606" s="6"/>
      <c r="E606" s="8"/>
    </row>
    <row r="607" spans="1:5" ht="12.75">
      <c r="A607" s="5" t="str">
        <f ca="1">IFERROR(__xludf.DUMMYFUNCTION("""COMPUTED_VALUE"""),"ИП 114-50-G•• НР 0ExiaIIС Т6...Т3 GaХ")</f>
        <v>ИП 114-50-G•• НР 0ExiaIIС Т6...Т3 GaХ</v>
      </c>
      <c r="B607" s="6" t="str">
        <f ca="1">IFERROR(__xludf.DUMMYFUNCTION("""COMPUTED_VALUE"""),"144-160°С. Контакты норм.разомкн.")</f>
        <v>144-160°С. Контакты норм.разомкн.</v>
      </c>
      <c r="C607" s="9">
        <f ca="1">IFERROR(__xludf.DUMMYFUNCTION("""COMPUTED_VALUE"""),2742.35115)</f>
        <v>2742.35115</v>
      </c>
      <c r="D607" s="6"/>
      <c r="E607" s="8"/>
    </row>
    <row r="608" spans="1:5" ht="25.5">
      <c r="A608" s="5" t="str">
        <f ca="1">IFERROR(__xludf.DUMMYFUNCTION("""COMPUTED_VALUE"""),"ИП103-55-А1 ПАШК.425212.129 ПС IP20")</f>
        <v>ИП103-55-А1 ПАШК.425212.129 ПС IP20</v>
      </c>
      <c r="B608" s="6" t="str">
        <f ca="1">IFERROR(__xludf.DUMMYFUNCTION("""COMPUTED_VALUE"""),"температура срабатывания от 54°С до 65°С")</f>
        <v>температура срабатывания от 54°С до 65°С</v>
      </c>
      <c r="C608" s="9">
        <f ca="1">IFERROR(__xludf.DUMMYFUNCTION("""COMPUTED_VALUE"""),334.95)</f>
        <v>334.95</v>
      </c>
      <c r="D608" s="6"/>
      <c r="E608" s="8"/>
    </row>
    <row r="609" spans="1:5" ht="25.5">
      <c r="A609" s="5" t="str">
        <f ca="1">IFERROR(__xludf.DUMMYFUNCTION("""COMPUTED_VALUE"""),"ИП103-55-А3 ПАШК.425212.129 ПС IP20")</f>
        <v>ИП103-55-А3 ПАШК.425212.129 ПС IP20</v>
      </c>
      <c r="B609" s="6" t="str">
        <f ca="1">IFERROR(__xludf.DUMMYFUNCTION("""COMPUTED_VALUE"""),"температура срабатывания от 64°С до 76°С")</f>
        <v>температура срабатывания от 64°С до 76°С</v>
      </c>
      <c r="C609" s="9">
        <f ca="1">IFERROR(__xludf.DUMMYFUNCTION("""COMPUTED_VALUE"""),334.95)</f>
        <v>334.95</v>
      </c>
      <c r="D609" s="6"/>
      <c r="E609" s="8"/>
    </row>
    <row r="610" spans="1:5" ht="25.5">
      <c r="A610" s="5" t="str">
        <f ca="1">IFERROR(__xludf.DUMMYFUNCTION("""COMPUTED_VALUE"""),"ИП103-55-В ПАШК.425212.129 ПС IP20")</f>
        <v>ИП103-55-В ПАШК.425212.129 ПС IP20</v>
      </c>
      <c r="B610" s="6" t="str">
        <f ca="1">IFERROR(__xludf.DUMMYFUNCTION("""COMPUTED_VALUE"""),"температура срабатывания от 69°С до 85°С")</f>
        <v>температура срабатывания от 69°С до 85°С</v>
      </c>
      <c r="C610" s="9">
        <f ca="1">IFERROR(__xludf.DUMMYFUNCTION("""COMPUTED_VALUE"""),334.95)</f>
        <v>334.95</v>
      </c>
      <c r="D610" s="6"/>
      <c r="E610" s="8"/>
    </row>
    <row r="611" spans="1:5" ht="25.5">
      <c r="A611" s="5" t="str">
        <f ca="1">IFERROR(__xludf.DUMMYFUNCTION("""COMPUTED_VALUE"""),"ИП103-55-С ПАШК.425212.129 ПС IP20")</f>
        <v>ИП103-55-С ПАШК.425212.129 ПС IP20</v>
      </c>
      <c r="B611" s="6" t="str">
        <f ca="1">IFERROR(__xludf.DUMMYFUNCTION("""COMPUTED_VALUE"""),"температура срабатывания от 84°С до 100°С")</f>
        <v>температура срабатывания от 84°С до 100°С</v>
      </c>
      <c r="C611" s="9">
        <f ca="1">IFERROR(__xludf.DUMMYFUNCTION("""COMPUTED_VALUE"""),334.95)</f>
        <v>334.95</v>
      </c>
      <c r="D611" s="6"/>
      <c r="E611" s="8"/>
    </row>
    <row r="612" spans="1:5" ht="76.5">
      <c r="A612" s="5" t="str">
        <f ca="1">IFERROR(__xludf.DUMMYFUNCTION("""COMPUTED_VALUE"""),"ИП 103-55-А1Ех 1Ex ib IIB T6 Gb ПАШК.425212.129 ПС")</f>
        <v>ИП 103-55-А1Ех 1Ex ib IIB T6 Gb ПАШК.425212.129 ПС</v>
      </c>
      <c r="B612" s="6" t="str">
        <f ca="1">IFERROR(__xludf.DUMMYFUNCTION("""COMPUTED_VALUE"""),"температура срабатывания от 54°С до 65°С, IP 20 Питание по двухпроводной электрической соединительной линии наличие оптического индикатора (встроенная электронная плата индикации)")</f>
        <v>температура срабатывания от 54°С до 65°С, IP 20 Питание по двухпроводной электрической соединительной линии наличие оптического индикатора (встроенная электронная плата индикации)</v>
      </c>
      <c r="C612" s="9">
        <f ca="1">IFERROR(__xludf.DUMMYFUNCTION("""COMPUTED_VALUE"""),796.6035)</f>
        <v>796.60350000000005</v>
      </c>
      <c r="D612" s="6"/>
      <c r="E612" s="8"/>
    </row>
    <row r="613" spans="1:5" ht="76.5">
      <c r="A613" s="5" t="str">
        <f ca="1">IFERROR(__xludf.DUMMYFUNCTION("""COMPUTED_VALUE"""),"ИП 103-55-А3Ех 1Ex ib IIB T6 Gb ПАШК.425212.129 ПС")</f>
        <v>ИП 103-55-А3Ех 1Ex ib IIB T6 Gb ПАШК.425212.129 ПС</v>
      </c>
      <c r="B613" s="6" t="str">
        <f ca="1">IFERROR(__xludf.DUMMYFUNCTION("""COMPUTED_VALUE"""),"температура срабатывания от 64°С до 76°С, IP 20 Питание по двухпроводной электрической соединительной линии наличие оптического индикатора (встроенная электронная плата индикации)")</f>
        <v>температура срабатывания от 64°С до 76°С, IP 20 Питание по двухпроводной электрической соединительной линии наличие оптического индикатора (встроенная электронная плата индикации)</v>
      </c>
      <c r="C613" s="9">
        <f ca="1">IFERROR(__xludf.DUMMYFUNCTION("""COMPUTED_VALUE"""),796.6035)</f>
        <v>796.60350000000005</v>
      </c>
      <c r="D613" s="6"/>
      <c r="E613" s="8"/>
    </row>
    <row r="614" spans="1:5" ht="76.5">
      <c r="A614" s="5" t="str">
        <f ca="1">IFERROR(__xludf.DUMMYFUNCTION("""COMPUTED_VALUE"""),"ИП 535/В ""СЕВЕР"" 0Ex iа IIC T6 Ga АТФЕ.425211.001 ТУ (Пластиковый ввод 6-12 мм)")</f>
        <v>ИП 535/В "СЕВЕР" 0Ex iа IIC T6 Ga АТФЕ.425211.001 ТУ (Пластиковый ввод 6-12 мм)</v>
      </c>
      <c r="B61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14" s="9">
        <f ca="1">IFERROR(__xludf.DUMMYFUNCTION("""COMPUTED_VALUE"""),7349.54)</f>
        <v>7349.54</v>
      </c>
      <c r="D614" s="6"/>
      <c r="E614" s="8"/>
    </row>
    <row r="615" spans="1:5" ht="76.5">
      <c r="A615" s="5" t="str">
        <f ca="1">IFERROR(__xludf.DUMMYFUNCTION("""COMPUTED_VALUE"""),"ИП 535/В ""СЕВЕР"" 0Ex iа IIC T6 Ga АТФЕ.425211.001 ТУ (Пластиковый ввод 11-17 мм)")</f>
        <v>ИП 535/В "СЕВЕР" 0Ex iа IIC T6 Ga АТФЕ.425211.001 ТУ (Пластиковый ввод 11-17 мм)</v>
      </c>
      <c r="B61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15" s="9">
        <f ca="1">IFERROR(__xludf.DUMMYFUNCTION("""COMPUTED_VALUE"""),7686.525)</f>
        <v>7686.5249999999996</v>
      </c>
      <c r="D615" s="6"/>
      <c r="E615" s="8"/>
    </row>
    <row r="616" spans="1:5" ht="76.5">
      <c r="A616" s="5" t="str">
        <f ca="1">IFERROR(__xludf.DUMMYFUNCTION("""COMPUTED_VALUE"""),"ИП 535/В ""СЕВЕР"" 0Ex iа IIC T6 Ga АТФЕ.425211.001 ТУ (Пластиковый ввод 13-18 мм)")</f>
        <v>ИП 535/В "СЕВЕР" 0Ex iа IIC T6 Ga АТФЕ.425211.001 ТУ (Пластиковый ввод 13-18 мм)</v>
      </c>
      <c r="B61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16" s="9">
        <f ca="1">IFERROR(__xludf.DUMMYFUNCTION("""COMPUTED_VALUE"""),7862.217)</f>
        <v>7862.2169999999996</v>
      </c>
      <c r="D616" s="6"/>
      <c r="E616" s="8"/>
    </row>
    <row r="617" spans="1:5" ht="89.25">
      <c r="A617" s="5" t="str">
        <f ca="1">IFERROR(__xludf.DUMMYFUNCTION("""COMPUTED_VALUE"""),"ИП 535/В ""СЕВЕР"" 0Ex iа IIC T6 Ga АТФЕ.425211.001 ТУ (Ввод из нержавейки МКВМ М20К (открытая прокладка кабеля))")</f>
        <v>ИП 535/В "СЕВЕР" 0Ex iа IIC T6 Ga АТФЕ.425211.001 ТУ (Ввод из нержавейки МКВМ М20К (открытая прокладка кабеля))</v>
      </c>
      <c r="B61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17" s="11">
        <f ca="1">IFERROR(__xludf.DUMMYFUNCTION("""COMPUTED_VALUE"""),11275)</f>
        <v>11275</v>
      </c>
      <c r="D617" s="6"/>
      <c r="E617" s="8"/>
    </row>
    <row r="618" spans="1:5" ht="76.5">
      <c r="A618" s="5" t="str">
        <f ca="1">IFERROR(__xludf.DUMMYFUNCTION("""COMPUTED_VALUE"""),"ИП 535/В ""СЕВЕР"" 0Ex iа IIC T6 Ga АТФЕ.425211.001 ТУ (Ввод из нержавейки МКВМ М20Т1/2 (труба с резьбой G1/2)) ")</f>
        <v xml:space="preserve">ИП 535/В "СЕВЕР" 0Ex iа IIC T6 Ga АТФЕ.425211.001 ТУ (Ввод из нержавейки МКВМ М20Т1/2 (труба с резьбой G1/2)) </v>
      </c>
      <c r="B61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18" s="11">
        <f ca="1">IFERROR(__xludf.DUMMYFUNCTION("""COMPUTED_VALUE"""),11275)</f>
        <v>11275</v>
      </c>
      <c r="D618" s="6"/>
      <c r="E618" s="8"/>
    </row>
    <row r="619" spans="1:5" ht="89.25">
      <c r="A619" s="5" t="str">
        <f ca="1">IFERROR(__xludf.DUMMYFUNCTION("""COMPUTED_VALUE"""),"ИП 535/В ""СЕВЕР"" 0Ex iа IIC T6 Ga АТФЕ.425211.001 ТУ (Ввод из нержавейки МКВМ М20Т3/4 (труба с резьбой G3/4))")</f>
        <v>ИП 535/В "СЕВЕР" 0Ex iа IIC T6 Ga АТФЕ.425211.001 ТУ (Ввод из нержавейки МКВМ М20Т3/4 (труба с резьбой G3/4))</v>
      </c>
      <c r="B61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19" s="11">
        <f ca="1">IFERROR(__xludf.DUMMYFUNCTION("""COMPUTED_VALUE"""),11275)</f>
        <v>11275</v>
      </c>
      <c r="D619" s="6"/>
      <c r="E619" s="8"/>
    </row>
    <row r="620" spans="1:5" ht="89.25">
      <c r="A620" s="5" t="str">
        <f ca="1">IFERROR(__xludf.DUMMYFUNCTION("""COMPUTED_VALUE"""),"ИП 535/В ""СЕВЕР"" 0Ex iа IIC T6 Ga АТФЕ.425211.001 ТУ (Ввод из нержавейки МКВМ М20КМ10 (металлорукав РЗЦ 10мм))")</f>
        <v>ИП 535/В "СЕВЕР" 0Ex iа IIC T6 Ga АТФЕ.425211.001 ТУ (Ввод из нержавейки МКВМ М20КМ10 (металлорукав РЗЦ 10мм))</v>
      </c>
      <c r="B62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620" s="11">
        <f ca="1">IFERROR(__xludf.DUMMYFUNCTION("""COMPUTED_VALUE"""),11735)</f>
        <v>11735</v>
      </c>
      <c r="D620" s="6"/>
      <c r="E620" s="8"/>
    </row>
    <row r="621" spans="1:5" ht="89.25">
      <c r="A621" s="5" t="str">
        <f ca="1">IFERROR(__xludf.DUMMYFUNCTION("""COMPUTED_VALUE"""),"ИП 535/В ""СЕВЕР"" 0Ex iа IIC T6 Ga АТФЕ.425211.001 ТУ (Ввод из нержавейки МКВМ М20КМ12 (металлорукав РЗЦ 12мм))")</f>
        <v>ИП 535/В "СЕВЕР" 0Ex iа IIC T6 Ga АТФЕ.425211.001 ТУ (Ввод из нержавейки МКВМ М20КМ12 (металлорукав РЗЦ 12мм))</v>
      </c>
      <c r="B62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621" s="11">
        <f ca="1">IFERROR(__xludf.DUMMYFUNCTION("""COMPUTED_VALUE"""),11735)</f>
        <v>11735</v>
      </c>
      <c r="D621" s="6"/>
      <c r="E621" s="8"/>
    </row>
    <row r="622" spans="1:5" ht="102">
      <c r="A622" s="5" t="str">
        <f ca="1">IFERROR(__xludf.DUMMYFUNCTION("""COMPUTED_VALUE"""),"ИП 535/В ""СЕВЕР"" 0Ex iа IIC T6 Ga АТФЕ.425211.001 ТУ (Ввод из нержавейки МКВМ М20КМ15 (Металлорукав РЗЦ 15мм)/ МКВМ М20КМ18 (Металлорукав РЗЦ 18мм))")</f>
        <v>ИП 535/В "СЕВЕР" 0Ex iа IIC T6 Ga АТФЕ.425211.001 ТУ (Ввод из нержавейки МКВМ М20КМ15 (Металлорукав РЗЦ 15мм)/ МКВМ М20КМ18 (Металлорукав РЗЦ 18мм))</v>
      </c>
      <c r="B62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622" s="11">
        <f ca="1">IFERROR(__xludf.DUMMYFUNCTION("""COMPUTED_VALUE"""),12195)</f>
        <v>12195</v>
      </c>
      <c r="D622" s="6"/>
      <c r="E622" s="8"/>
    </row>
    <row r="623" spans="1:5" ht="76.5">
      <c r="A623" s="5" t="str">
        <f ca="1">IFERROR(__xludf.DUMMYFUNCTION("""COMPUTED_VALUE"""),"ИП 535/В ""СЕВЕР"" 0Ex iа IIC T6 Ga АТФЕ.425211.001 ТУ (Ввод из нержавейки МКВМ М20В (Бронированный кабель))")</f>
        <v>ИП 535/В "СЕВЕР" 0Ex iа IIC T6 Ga АТФЕ.425211.001 ТУ (Ввод из нержавейки МКВМ М20В (Бронированный кабель))</v>
      </c>
      <c r="B62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623" s="11">
        <f ca="1">IFERROR(__xludf.DUMMYFUNCTION("""COMPUTED_VALUE"""),12195)</f>
        <v>12195</v>
      </c>
      <c r="D623" s="6"/>
      <c r="E623" s="8"/>
    </row>
    <row r="624" spans="1:5" ht="89.25">
      <c r="A624" s="5" t="str">
        <f ca="1">IFERROR(__xludf.DUMMYFUNCTION("""COMPUTED_VALUE"""),"ИП 535/В ""СЕВЕР"" 0Ex iа IIC T6 Ga АТФЕ.425211.001 ТУ (Ввод из нержавейки МКВМ М20В2 (Бронированный кабель с двойным уплотнением))")</f>
        <v>ИП 535/В "СЕВЕР" 0Ex iа IIC T6 Ga АТФЕ.425211.001 ТУ (Ввод из нержавейки МКВМ М20В2 (Бронированный кабель с двойным уплотнением))</v>
      </c>
      <c r="B62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624" s="11">
        <f ca="1">IFERROR(__xludf.DUMMYFUNCTION("""COMPUTED_VALUE"""),12195)</f>
        <v>12195</v>
      </c>
      <c r="D624" s="6"/>
      <c r="E624" s="8"/>
    </row>
    <row r="625" spans="1:5" ht="89.25">
      <c r="A625" s="5" t="str">
        <f ca="1">IFERROR(__xludf.DUMMYFUNCTION("""COMPUTED_VALUE"""),"ИП 535/В ""СЕВЕР"" 0Ex iа IIC T6 Ga АТФЕ.425211.001 ТУ (Ввод из нержавейки МКВМ М25 (К, В, В2, T3/4, КМ8, КМ10, КМ12, КМ15, КМ18,КМ20)")</f>
        <v>ИП 535/В "СЕВЕР" 0Ex iа IIC T6 Ga АТФЕ.425211.001 ТУ (Ввод из нержавейки МКВМ М25 (К, В, В2, T3/4, КМ8, КМ10, КМ12, КМ15, КМ18,КМ20)</v>
      </c>
      <c r="B62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v>
      </c>
      <c r="C625" s="11">
        <f ca="1">IFERROR(__xludf.DUMMYFUNCTION("""COMPUTED_VALUE"""),24475)</f>
        <v>24475</v>
      </c>
      <c r="D625" s="6"/>
      <c r="E625" s="8"/>
    </row>
    <row r="626" spans="1:5" ht="76.5">
      <c r="A626" s="5" t="str">
        <f ca="1">IFERROR(__xludf.DUMMYFUNCTION("""COMPUTED_VALUE"""),"ИП535Ех ""СЕВЕР"" 6-12 мм 0Ex ia IIC T6 Ga ПАШК.425211.126")</f>
        <v>ИП535Ех "СЕВЕР" 6-12 мм 0Ex ia IIC T6 Ga ПАШК.425211.126</v>
      </c>
      <c r="B62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26" s="9">
        <f ca="1">IFERROR(__xludf.DUMMYFUNCTION("""COMPUTED_VALUE"""),7349.54)</f>
        <v>7349.54</v>
      </c>
      <c r="D626" s="6"/>
      <c r="E626" s="8"/>
    </row>
    <row r="627" spans="1:5" ht="76.5">
      <c r="A627" s="5" t="str">
        <f ca="1">IFERROR(__xludf.DUMMYFUNCTION("""COMPUTED_VALUE"""),"ИП535Ех ""СЕВЕР"" 11-17 мм 0Ex ia IIC T6 Ga ПАШК.425211.126")</f>
        <v>ИП535Ех "СЕВЕР" 11-17 мм 0Ex ia IIC T6 Ga ПАШК.425211.126</v>
      </c>
      <c r="B62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27" s="9">
        <f ca="1">IFERROR(__xludf.DUMMYFUNCTION("""COMPUTED_VALUE"""),7686.525)</f>
        <v>7686.5249999999996</v>
      </c>
      <c r="D627" s="6"/>
      <c r="E627" s="8"/>
    </row>
    <row r="628" spans="1:5" ht="76.5">
      <c r="A628" s="5" t="str">
        <f ca="1">IFERROR(__xludf.DUMMYFUNCTION("""COMPUTED_VALUE"""),"ИП535Ех ""СЕВЕР"" 13-18 мм 0Ex ia IIC T6 Ga ПАШК.425211.126")</f>
        <v>ИП535Ех "СЕВЕР" 13-18 мм 0Ex ia IIC T6 Ga ПАШК.425211.126</v>
      </c>
      <c r="B62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28" s="9">
        <f ca="1">IFERROR(__xludf.DUMMYFUNCTION("""COMPUTED_VALUE"""),7862.217)</f>
        <v>7862.2169999999996</v>
      </c>
      <c r="D628" s="6"/>
      <c r="E628" s="8"/>
    </row>
    <row r="629" spans="1:5" ht="89.25">
      <c r="A629" s="5" t="str">
        <f ca="1">IFERROR(__xludf.DUMMYFUNCTION("""COMPUTED_VALUE"""),"ИП535Ех ""СЕВЕР"" МКВМ М20К 0Ex ia IIC T6 Ga ПАШК.425211.126")</f>
        <v>ИП535Ех "СЕВЕР" МКВМ М20К 0Ex ia IIC T6 Ga ПАШК.425211.126</v>
      </c>
      <c r="B62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29" s="11">
        <f ca="1">IFERROR(__xludf.DUMMYFUNCTION("""COMPUTED_VALUE"""),11275)</f>
        <v>11275</v>
      </c>
      <c r="D629" s="6"/>
      <c r="E629" s="8"/>
    </row>
    <row r="630" spans="1:5" ht="76.5">
      <c r="A630" s="5" t="str">
        <f ca="1">IFERROR(__xludf.DUMMYFUNCTION("""COMPUTED_VALUE"""),"ИП535Ех ""СЕВЕР"" МКВМ М20Т1/2 0Ex ia IIC T6 Ga ПАШК.425211.126")</f>
        <v>ИП535Ех "СЕВЕР" МКВМ М20Т1/2 0Ex ia IIC T6 Ga ПАШК.425211.126</v>
      </c>
      <c r="B63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30" s="11">
        <f ca="1">IFERROR(__xludf.DUMMYFUNCTION("""COMPUTED_VALUE"""),11275)</f>
        <v>11275</v>
      </c>
      <c r="D630" s="6"/>
      <c r="E630" s="8"/>
    </row>
    <row r="631" spans="1:5" ht="89.25">
      <c r="A631" s="5" t="str">
        <f ca="1">IFERROR(__xludf.DUMMYFUNCTION("""COMPUTED_VALUE"""),"ИП535Ех ""СЕВЕР"" МКВМ М20Т3/4 0Ex ia IIC T6 Ga ПАШК.425211.126")</f>
        <v>ИП535Ех "СЕВЕР" МКВМ М20Т3/4 0Ex ia IIC T6 Ga ПАШК.425211.126</v>
      </c>
      <c r="B63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31" s="11">
        <f ca="1">IFERROR(__xludf.DUMMYFUNCTION("""COMPUTED_VALUE"""),11275)</f>
        <v>11275</v>
      </c>
      <c r="D631" s="6"/>
      <c r="E631" s="8"/>
    </row>
    <row r="632" spans="1:5" ht="89.25">
      <c r="A632" s="5" t="str">
        <f ca="1">IFERROR(__xludf.DUMMYFUNCTION("""COMPUTED_VALUE"""),"ИП535Ех ""СЕВЕР"" МКВМ М20КМ10 0Ex ia IIC T6 Ga ПАШК.425211.126")</f>
        <v>ИП535Ех "СЕВЕР" МКВМ М20КМ10 0Ex ia IIC T6 Ga ПАШК.425211.126</v>
      </c>
      <c r="B63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632" s="11">
        <f ca="1">IFERROR(__xludf.DUMMYFUNCTION("""COMPUTED_VALUE"""),11735)</f>
        <v>11735</v>
      </c>
      <c r="D632" s="6"/>
      <c r="E632" s="8"/>
    </row>
    <row r="633" spans="1:5" ht="89.25">
      <c r="A633" s="5" t="str">
        <f ca="1">IFERROR(__xludf.DUMMYFUNCTION("""COMPUTED_VALUE"""),"ИП535Ех ""СЕВЕР"" МКВМ М20КМ12 0Ex ia IIC T6 Ga ПАШК.425211.126")</f>
        <v>ИП535Ех "СЕВЕР" МКВМ М20КМ12 0Ex ia IIC T6 Ga ПАШК.425211.126</v>
      </c>
      <c r="B63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633" s="11">
        <f ca="1">IFERROR(__xludf.DUMMYFUNCTION("""COMPUTED_VALUE"""),11735)</f>
        <v>11735</v>
      </c>
      <c r="D633" s="6"/>
      <c r="E633" s="8"/>
    </row>
    <row r="634" spans="1:5" ht="102">
      <c r="A634" s="5" t="str">
        <f ca="1">IFERROR(__xludf.DUMMYFUNCTION("""COMPUTED_VALUE"""),"ИП535Ех ""СЕВЕР"" МКВМ М20КМ15/М20КМ18 0Ex ia IIC T6 Ga ПАШК.425211.126")</f>
        <v>ИП535Ех "СЕВЕР" МКВМ М20КМ15/М20КМ18 0Ex ia IIC T6 Ga ПАШК.425211.126</v>
      </c>
      <c r="B63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634" s="11">
        <f ca="1">IFERROR(__xludf.DUMMYFUNCTION("""COMPUTED_VALUE"""),12195)</f>
        <v>12195</v>
      </c>
      <c r="D634" s="6"/>
      <c r="E634" s="8"/>
    </row>
    <row r="635" spans="1:5" ht="76.5">
      <c r="A635" s="5" t="str">
        <f ca="1">IFERROR(__xludf.DUMMYFUNCTION("""COMPUTED_VALUE"""),"ИП535Ех ""СЕВЕР"" МКВМ М20В 0Ex ia IIC T6 Ga ПАШК.425211.126")</f>
        <v>ИП535Ех "СЕВЕР" МКВМ М20В 0Ex ia IIC T6 Ga ПАШК.425211.126</v>
      </c>
      <c r="B63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635" s="11">
        <f ca="1">IFERROR(__xludf.DUMMYFUNCTION("""COMPUTED_VALUE"""),12195)</f>
        <v>12195</v>
      </c>
      <c r="D635" s="6"/>
      <c r="E635" s="8"/>
    </row>
    <row r="636" spans="1:5" ht="89.25">
      <c r="A636" s="5" t="str">
        <f ca="1">IFERROR(__xludf.DUMMYFUNCTION("""COMPUTED_VALUE"""),"ИП535Ех ""СЕВЕР"" МКВМ М20В2 0Ex ia IIC T6 Ga ПАШК.425211.126")</f>
        <v>ИП535Ех "СЕВЕР" МКВМ М20В2 0Ex ia IIC T6 Ga ПАШК.425211.126</v>
      </c>
      <c r="B63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636" s="11">
        <f ca="1">IFERROR(__xludf.DUMMYFUNCTION("""COMPUTED_VALUE"""),12195)</f>
        <v>12195</v>
      </c>
      <c r="D636" s="6"/>
      <c r="E636" s="8"/>
    </row>
    <row r="637" spans="1:5" ht="89.25">
      <c r="A637" s="5" t="str">
        <f ca="1">IFERROR(__xludf.DUMMYFUNCTION("""COMPUTED_VALUE"""),"ИП535Ех ""СЕВЕР"" МКВМ М25 (К, В, В2, T3/4, КМ8, КМ10, КМ12, КМ15, КМ18,КМ20)")</f>
        <v>ИП535Ех "СЕВЕР" МКВМ М25 (К, В, В2, T3/4, КМ8, КМ10, КМ12, КМ15, КМ18,КМ20)</v>
      </c>
      <c r="B63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МКВМ М25 (К, В, В2, T3/4, КМ8, КМ10, КМ12, КМ15, КМ18,КМ20). IP 66/67</v>
      </c>
      <c r="C637" s="11">
        <f ca="1">IFERROR(__xludf.DUMMYFUNCTION("""COMPUTED_VALUE"""),24475)</f>
        <v>24475</v>
      </c>
      <c r="D637" s="6"/>
      <c r="E637" s="8"/>
    </row>
    <row r="638" spans="1:5" ht="12.75">
      <c r="A638" s="5" t="str">
        <f ca="1">IFERROR(__xludf.DUMMYFUNCTION("""COMPUTED_VALUE"""),"ИП 535-26 «Север» (без вводов, глухая коробка)")</f>
        <v>ИП 535-26 «Север» (без вводов, глухая коробка)</v>
      </c>
      <c r="B638" s="6"/>
      <c r="C638" s="9">
        <f ca="1">IFERROR(__xludf.DUMMYFUNCTION("""COMPUTED_VALUE"""),5020.532)</f>
        <v>5020.5320000000002</v>
      </c>
      <c r="D638" s="6"/>
      <c r="E638" s="8"/>
    </row>
    <row r="639" spans="1:5" ht="51">
      <c r="A639" s="5" t="str">
        <f ca="1">IFERROR(__xludf.DUMMYFUNCTION("""COMPUTED_VALUE"""),"ИП 535-26 «Север» 6-12 мм АТФЕ.425211.001")</f>
        <v>ИП 535-26 «Север» 6-12 мм АТФЕ.425211.001</v>
      </c>
      <c r="B639" s="6" t="str">
        <f ca="1">IFERROR(__xludf.DUMMYFUNCTION("""COMPUTED_VALUE"""),"приводится в действие опусканием вниз в направлении стрелок приводного элемента (ручки). Пластиковый ввод 6-12 мм. IP 66/67")</f>
        <v>приводится в действие опусканием вниз в направлении стрелок приводного элемента (ручки). Пластиковый ввод 6-12 мм. IP 66/67</v>
      </c>
      <c r="C639" s="9">
        <f ca="1">IFERROR(__xludf.DUMMYFUNCTION("""COMPUTED_VALUE"""),5160.65)</f>
        <v>5160.6499999999996</v>
      </c>
      <c r="D639" s="6"/>
      <c r="E639" s="8"/>
    </row>
    <row r="640" spans="1:5" ht="51">
      <c r="A640" s="5" t="str">
        <f ca="1">IFERROR(__xludf.DUMMYFUNCTION("""COMPUTED_VALUE"""),"ИП 535-26 «Север» 11-17 мм АТФЕ.425211.001")</f>
        <v>ИП 535-26 «Север» 11-17 мм АТФЕ.425211.001</v>
      </c>
      <c r="B640" s="6" t="str">
        <f ca="1">IFERROR(__xludf.DUMMYFUNCTION("""COMPUTED_VALUE"""),"приводится в действие опусканием вниз в направлении стрелок приводного элемента (ручки). Пластиковый ввод 11-17 мм. IP 66/67")</f>
        <v>приводится в действие опусканием вниз в направлении стрелок приводного элемента (ручки). Пластиковый ввод 11-17 мм. IP 66/67</v>
      </c>
      <c r="C640" s="9">
        <f ca="1">IFERROR(__xludf.DUMMYFUNCTION("""COMPUTED_VALUE"""),5490.375)</f>
        <v>5490.375</v>
      </c>
      <c r="D640" s="6"/>
      <c r="E640" s="8"/>
    </row>
    <row r="641" spans="1:5" ht="51">
      <c r="A641" s="5" t="str">
        <f ca="1">IFERROR(__xludf.DUMMYFUNCTION("""COMPUTED_VALUE"""),"ИП 535-26 «Север» 13-18 мм АТФЕ.425211.001")</f>
        <v>ИП 535-26 «Север» 13-18 мм АТФЕ.425211.001</v>
      </c>
      <c r="B641" s="6" t="str">
        <f ca="1">IFERROR(__xludf.DUMMYFUNCTION("""COMPUTED_VALUE"""),"приводится в действие опусканием вниз в направлении стрелок приводного элемента (ручки). Пластиковый ввод 13-18 мм. IP 66/67")</f>
        <v>приводится в действие опусканием вниз в направлении стрелок приводного элемента (ручки). Пластиковый ввод 13-18 мм. IP 66/67</v>
      </c>
      <c r="C641" s="9">
        <f ca="1">IFERROR(__xludf.DUMMYFUNCTION("""COMPUTED_VALUE"""),5666.067)</f>
        <v>5666.067</v>
      </c>
      <c r="D641" s="6"/>
      <c r="E641" s="8"/>
    </row>
    <row r="642" spans="1:5" ht="63.75">
      <c r="A642" s="5" t="str">
        <f ca="1">IFERROR(__xludf.DUMMYFUNCTION("""COMPUTED_VALUE"""),"ИП 535-26 «Север» МКВМ М20К АТФЕ.425211.001")</f>
        <v>ИП 535-26 «Север» МКВМ М20К АТФЕ.425211.001</v>
      </c>
      <c r="B642" s="6" t="str">
        <f ca="1">IFERROR(__xludf.DUMMYFUNCTION("""COMPUTED_VALUE"""),"приводится в действие опусканием вниз в направлении стрелок приводного элемента (ручки). Ввод из нержавейки МКВМ М20К (открытая прокладка кабеля) . IP 66/67")</f>
        <v>приводится в действие опусканием вниз в направлении стрелок приводного элемента (ручки). Ввод из нержавейки МКВМ М20К (открытая прокладка кабеля) . IP 66/67</v>
      </c>
      <c r="C642" s="11">
        <f ca="1">IFERROR(__xludf.DUMMYFUNCTION("""COMPUTED_VALUE"""),9288)</f>
        <v>9288</v>
      </c>
      <c r="D642" s="6"/>
      <c r="E642" s="8"/>
    </row>
    <row r="643" spans="1:5" ht="63.75">
      <c r="A643" s="5" t="str">
        <f ca="1">IFERROR(__xludf.DUMMYFUNCTION("""COMPUTED_VALUE"""),"ИП 535-26 «Север» МКВМ М20Т1/2 АТФЕ.425211.001")</f>
        <v>ИП 535-26 «Север» МКВМ М20Т1/2 АТФЕ.425211.001</v>
      </c>
      <c r="B643" s="6" t="str">
        <f ca="1">IFERROR(__xludf.DUMMYFUNCTION("""COMPUTED_VALUE"""),"приводится в действие опусканием вниз в направлении стрелок приводного элемента (ручки). Ввод из нержавейки МКВМ М20Т1/2 (труба с резьбой G1/2). IP 66/67")</f>
        <v>приводится в действие опусканием вниз в направлении стрелок приводного элемента (ручки). Ввод из нержавейки МКВМ М20Т1/2 (труба с резьбой G1/2). IP 66/67</v>
      </c>
      <c r="C643" s="11">
        <f ca="1">IFERROR(__xludf.DUMMYFUNCTION("""COMPUTED_VALUE"""),9288)</f>
        <v>9288</v>
      </c>
      <c r="D643" s="6"/>
      <c r="E643" s="8"/>
    </row>
    <row r="644" spans="1:5" ht="63.75">
      <c r="A644" s="5" t="str">
        <f ca="1">IFERROR(__xludf.DUMMYFUNCTION("""COMPUTED_VALUE"""),"ИП 535-26 «Север» МКВМ М20Т3/4 АТФЕ.425211.001")</f>
        <v>ИП 535-26 «Север» МКВМ М20Т3/4 АТФЕ.425211.001</v>
      </c>
      <c r="B644" s="6" t="str">
        <f ca="1">IFERROR(__xludf.DUMMYFUNCTION("""COMPUTED_VALUE"""),"приводится в действие опусканием вниз в направлении стрелок приводного элемента (ручки). Ввод из нержавейки МКВМ М20Т3/4 (труба с резьбой G3/4) . IP 66/67")</f>
        <v>приводится в действие опусканием вниз в направлении стрелок приводного элемента (ручки). Ввод из нержавейки МКВМ М20Т3/4 (труба с резьбой G3/4) . IP 66/67</v>
      </c>
      <c r="C644" s="11">
        <f ca="1">IFERROR(__xludf.DUMMYFUNCTION("""COMPUTED_VALUE"""),9288)</f>
        <v>9288</v>
      </c>
      <c r="D644" s="6"/>
      <c r="E644" s="8"/>
    </row>
    <row r="645" spans="1:5" ht="63.75">
      <c r="A645" s="5" t="str">
        <f ca="1">IFERROR(__xludf.DUMMYFUNCTION("""COMPUTED_VALUE"""),"ИП 535-26 «Север» МКВМ М20КМ10 АТФЕ.425211.001")</f>
        <v>ИП 535-26 «Север» МКВМ М20КМ10 АТФЕ.425211.001</v>
      </c>
      <c r="B645" s="6" t="str">
        <f ca="1">IFERROR(__xludf.DUMMYFUNCTION("""COMPUTED_VALUE"""),"приводится в действие опусканием вниз в направлении стрелок приводного элемента (ручки). Ввод из нержавейки МКВМ М20КМ10 (металлорукав РЗЦ 10мм). IP 66/67")</f>
        <v>приводится в действие опусканием вниз в направлении стрелок приводного элемента (ручки). Ввод из нержавейки МКВМ М20КМ10 (металлорукав РЗЦ 10мм). IP 66/67</v>
      </c>
      <c r="C645" s="11">
        <f ca="1">IFERROR(__xludf.DUMMYFUNCTION("""COMPUTED_VALUE"""),9748)</f>
        <v>9748</v>
      </c>
      <c r="D645" s="6"/>
      <c r="E645" s="8"/>
    </row>
    <row r="646" spans="1:5" ht="63.75">
      <c r="A646" s="5" t="str">
        <f ca="1">IFERROR(__xludf.DUMMYFUNCTION("""COMPUTED_VALUE"""),"ИП 535-26 «Север» МКВМ М20КМ12 АТФЕ.425211.001")</f>
        <v>ИП 535-26 «Север» МКВМ М20КМ12 АТФЕ.425211.001</v>
      </c>
      <c r="B646" s="6" t="str">
        <f ca="1">IFERROR(__xludf.DUMMYFUNCTION("""COMPUTED_VALUE"""),"приводится в действие опусканием вниз в направлении стрелок приводного элемента (ручки). Ввод из нержавейки МКВМ М20КМ12 (металлорукав РЗЦ 12мм). IP 66/67")</f>
        <v>приводится в действие опусканием вниз в направлении стрелок приводного элемента (ручки). Ввод из нержавейки МКВМ М20КМ12 (металлорукав РЗЦ 12мм). IP 66/67</v>
      </c>
      <c r="C646" s="11">
        <f ca="1">IFERROR(__xludf.DUMMYFUNCTION("""COMPUTED_VALUE"""),9748)</f>
        <v>9748</v>
      </c>
      <c r="D646" s="6"/>
      <c r="E646" s="8"/>
    </row>
    <row r="647" spans="1:5" ht="76.5">
      <c r="A647" s="5" t="str">
        <f ca="1">IFERROR(__xludf.DUMMYFUNCTION("""COMPUTED_VALUE"""),"ИП 535-26 «Север» МКВМ М20КМ15/М20КМ18 АТФЕ.425211.001")</f>
        <v>ИП 535-26 «Север» МКВМ М20КМ15/М20КМ18 АТФЕ.425211.001</v>
      </c>
      <c r="B647" s="6" t="str">
        <f ca="1">IFERROR(__xludf.DUMMYFUNCTION("""COMPUTED_VALUE"""),"приводится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f>
        <v>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v>
      </c>
      <c r="C647" s="11">
        <f ca="1">IFERROR(__xludf.DUMMYFUNCTION("""COMPUTED_VALUE"""),10207)</f>
        <v>10207</v>
      </c>
      <c r="D647" s="6"/>
      <c r="E647" s="8"/>
    </row>
    <row r="648" spans="1:5" ht="63.75">
      <c r="A648" s="5" t="str">
        <f ca="1">IFERROR(__xludf.DUMMYFUNCTION("""COMPUTED_VALUE"""),"ИП 535-26 «Север» МКВМ М20В АТФЕ.425211.001")</f>
        <v>ИП 535-26 «Север» МКВМ М20В АТФЕ.425211.001</v>
      </c>
      <c r="B648" s="6" t="str">
        <f ca="1">IFERROR(__xludf.DUMMYFUNCTION("""COMPUTED_VALUE"""),"приводится в действие опусканием вниз в направлении стрелок приводного элемента (ручки). Ввод из нержавейки МКВМ М20В (Бронированный кабель). IP 66/67")</f>
        <v>приводится в действие опусканием вниз в направлении стрелок приводного элемента (ручки). Ввод из нержавейки МКВМ М20В (Бронированный кабель). IP 66/67</v>
      </c>
      <c r="C648" s="11">
        <f ca="1">IFERROR(__xludf.DUMMYFUNCTION("""COMPUTED_VALUE"""),10207)</f>
        <v>10207</v>
      </c>
      <c r="D648" s="6"/>
      <c r="E648" s="8"/>
    </row>
    <row r="649" spans="1:5" ht="63.75">
      <c r="A649" s="5" t="str">
        <f ca="1">IFERROR(__xludf.DUMMYFUNCTION("""COMPUTED_VALUE"""),"ИП 535-26 «Север» МКВМ М20В2 АТФЕ.425211.001")</f>
        <v>ИП 535-26 «Север» МКВМ М20В2 АТФЕ.425211.001</v>
      </c>
      <c r="B649" s="6" t="str">
        <f ca="1">IFERROR(__xludf.DUMMYFUNCTION("""COMPUTED_VALUE"""),"приводится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f>
        <v>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v>
      </c>
      <c r="C649" s="11">
        <f ca="1">IFERROR(__xludf.DUMMYFUNCTION("""COMPUTED_VALUE"""),10207)</f>
        <v>10207</v>
      </c>
      <c r="D649" s="6"/>
      <c r="E649" s="8"/>
    </row>
    <row r="650" spans="1:5" ht="63.75">
      <c r="A650" s="5" t="str">
        <f ca="1">IFERROR(__xludf.DUMMYFUNCTION("""COMPUTED_VALUE"""),"ИП 535-26 «Север» МКВМ М25 (К, В, В2, T3/4, КМ8, КМ10, КМ12, КМ15, КМ18,КМ20)")</f>
        <v>ИП 535-26 «Север» МКВМ М25 (К, В, В2, T3/4, КМ8, КМ10, КМ12, КМ15, КМ18,КМ20)</v>
      </c>
      <c r="B650" s="6" t="str">
        <f ca="1">IFERROR(__xludf.DUMMYFUNCTION("""COMPUTED_VALUE"""),"приводится в действие опусканием вниз в направлении стрелок приводного элемента (ручки). Ввод из нержавейки  МКВМ М25 (К, В, В2, T3/4, КМ8, КМ10, КМ12, КМ15, КМ18,КМ20). IP 66/67")</f>
        <v>приводится в действие опусканием вниз в направлении стрелок приводного элемента (ручки). Ввод из нержавейки  МКВМ М25 (К, В, В2, T3/4, КМ8, КМ10, КМ12, КМ15, КМ18,КМ20). IP 66/67</v>
      </c>
      <c r="C650" s="11">
        <f ca="1">IFERROR(__xludf.DUMMYFUNCTION("""COMPUTED_VALUE"""),21888)</f>
        <v>21888</v>
      </c>
      <c r="D650" s="6"/>
      <c r="E650" s="8"/>
    </row>
    <row r="651" spans="1:5" ht="38.25">
      <c r="A651" s="5" t="str">
        <f ca="1">IFERROR(__xludf.DUMMYFUNCTION("""COMPUTED_VALUE"""),"ИП 535-26 «Север» (с дополнительным переключающим герконом, расширяющим функциональные возможности извещателя) АТФЕ.425211.001")</f>
        <v>ИП 535-26 «Север» (с дополнительным переключающим герконом, расширяющим функциональные возможности извещателя) АТФЕ.425211.001</v>
      </c>
      <c r="B651" s="6" t="str">
        <f ca="1">IFERROR(__xludf.DUMMYFUNCTION("""COMPUTED_VALUE"""),"1,5Вт, 30В, 0,2А IP 66/67")</f>
        <v>1,5Вт, 30В, 0,2А IP 66/67</v>
      </c>
      <c r="C651" s="9">
        <f ca="1">IFERROR(__xludf.DUMMYFUNCTION("""COMPUTED_VALUE"""),5627.0566)</f>
        <v>5627.0565999999999</v>
      </c>
      <c r="D651" s="6"/>
      <c r="E651" s="8"/>
    </row>
    <row r="652" spans="1:5" ht="12.75">
      <c r="A652" s="5" t="str">
        <f ca="1">IFERROR(__xludf.DUMMYFUNCTION("""COMPUTED_VALUE"""),"ИП 535-50-А «Север» (без вводов, глухая коробка)")</f>
        <v>ИП 535-50-А «Север» (без вводов, глухая коробка)</v>
      </c>
      <c r="B652" s="6"/>
      <c r="C652" s="9">
        <f ca="1">IFERROR(__xludf.DUMMYFUNCTION("""COMPUTED_VALUE"""),5020.532)</f>
        <v>5020.5320000000002</v>
      </c>
      <c r="D652" s="6"/>
      <c r="E652" s="8"/>
    </row>
    <row r="653" spans="1:5" ht="51">
      <c r="A653" s="5" t="str">
        <f ca="1">IFERROR(__xludf.DUMMYFUNCTION("""COMPUTED_VALUE"""),"ИП 535-50-A «СЕВЕР» ПАШК.42511.126ПС (Пластиковый ввод 6-12 мм)")</f>
        <v>ИП 535-50-A «СЕВЕР» ПАШК.42511.126ПС (Пластиковый ввод 6-12 мм)</v>
      </c>
      <c r="B653" s="6" t="str">
        <f ca="1">IFERROR(__xludf.DUMMYFUNCTION("""COMPUTED_VALUE"""),"приводится в действие опусканием вниз в направлении стрелок приводного элемента (ручки). Пластиковый ввод 6-12 мм. IP 66/67")</f>
        <v>приводится в действие опусканием вниз в направлении стрелок приводного элемента (ручки). Пластиковый ввод 6-12 мм. IP 66/67</v>
      </c>
      <c r="C653" s="9">
        <f ca="1">IFERROR(__xludf.DUMMYFUNCTION("""COMPUTED_VALUE"""),5160.65)</f>
        <v>5160.6499999999996</v>
      </c>
      <c r="D653" s="6"/>
      <c r="E653" s="8"/>
    </row>
    <row r="654" spans="1:5" ht="51">
      <c r="A654" s="5" t="str">
        <f ca="1">IFERROR(__xludf.DUMMYFUNCTION("""COMPUTED_VALUE"""),"ИП 535-50-A «СЕВЕР» ПАШК.42511.126ПС (Пластиковый ввод 11-17 мм)")</f>
        <v>ИП 535-50-A «СЕВЕР» ПАШК.42511.126ПС (Пластиковый ввод 11-17 мм)</v>
      </c>
      <c r="B654" s="6" t="str">
        <f ca="1">IFERROR(__xludf.DUMMYFUNCTION("""COMPUTED_VALUE"""),"приводится в действие опусканием вниз в направлении стрелок приводного элемента (ручки). Пластиковый ввод 11-17 мм. IP 66/67")</f>
        <v>приводится в действие опусканием вниз в направлении стрелок приводного элемента (ручки). Пластиковый ввод 11-17 мм. IP 66/67</v>
      </c>
      <c r="C654" s="9">
        <f ca="1">IFERROR(__xludf.DUMMYFUNCTION("""COMPUTED_VALUE"""),5490.375)</f>
        <v>5490.375</v>
      </c>
      <c r="D654" s="6"/>
      <c r="E654" s="8"/>
    </row>
    <row r="655" spans="1:5" ht="51">
      <c r="A655" s="5" t="str">
        <f ca="1">IFERROR(__xludf.DUMMYFUNCTION("""COMPUTED_VALUE"""),"ИП 535-50-A «СЕВЕР» ПАШК.42511.126ПС (Пластиковый ввод 13-18 мм)")</f>
        <v>ИП 535-50-A «СЕВЕР» ПАШК.42511.126ПС (Пластиковый ввод 13-18 мм)</v>
      </c>
      <c r="B655" s="6" t="str">
        <f ca="1">IFERROR(__xludf.DUMMYFUNCTION("""COMPUTED_VALUE"""),"приводится в действие опусканием вниз в направлении стрелок приводного элемента (ручки). Пластиковый ввод 13-18 мм. IP 66/67")</f>
        <v>приводится в действие опусканием вниз в направлении стрелок приводного элемента (ручки). Пластиковый ввод 13-18 мм. IP 66/67</v>
      </c>
      <c r="C655" s="9">
        <f ca="1">IFERROR(__xludf.DUMMYFUNCTION("""COMPUTED_VALUE"""),5666.067)</f>
        <v>5666.067</v>
      </c>
      <c r="D655" s="6"/>
      <c r="E655" s="8"/>
    </row>
    <row r="656" spans="1:5" ht="63.75">
      <c r="A656" s="5" t="str">
        <f ca="1">IFERROR(__xludf.DUMMYFUNCTION("""COMPUTED_VALUE"""),"ИП 535-50-A «СЕВЕР» ПАШК.42511.126ПС (Ввод из нержавейки МКВМ М20К (открытая прокладка кабеля)) ")</f>
        <v xml:space="preserve">ИП 535-50-A «СЕВЕР» ПАШК.42511.126ПС (Ввод из нержавейки МКВМ М20К (открытая прокладка кабеля)) </v>
      </c>
      <c r="B656" s="6" t="str">
        <f ca="1">IFERROR(__xludf.DUMMYFUNCTION("""COMPUTED_VALUE"""),"приводится в действие опусканием вниз в направлении стрелок приводного элемента (ручки). Ввод из нержавейки МКВМ М20К (открытая прокладка кабеля) . IP 66/67")</f>
        <v>приводится в действие опусканием вниз в направлении стрелок приводного элемента (ручки). Ввод из нержавейки МКВМ М20К (открытая прокладка кабеля) . IP 66/67</v>
      </c>
      <c r="C656" s="11">
        <f ca="1">IFERROR(__xludf.DUMMYFUNCTION("""COMPUTED_VALUE"""),9288)</f>
        <v>9288</v>
      </c>
      <c r="D656" s="6"/>
      <c r="E656" s="8"/>
    </row>
    <row r="657" spans="1:5" ht="63.75">
      <c r="A657" s="5" t="str">
        <f ca="1">IFERROR(__xludf.DUMMYFUNCTION("""COMPUTED_VALUE"""),"ИП 535-50-A «СЕВЕР» ПАШК.42511.126ПС (Ввод из нержавейки МКВМ М20Т1/2 (труба с резьбой G1/2)) ")</f>
        <v xml:space="preserve">ИП 535-50-A «СЕВЕР» ПАШК.42511.126ПС (Ввод из нержавейки МКВМ М20Т1/2 (труба с резьбой G1/2)) </v>
      </c>
      <c r="B657" s="6" t="str">
        <f ca="1">IFERROR(__xludf.DUMMYFUNCTION("""COMPUTED_VALUE"""),"приводится в действие опусканием вниз в направлении стрелок приводного элемента (ручки). Ввод из нержавейки МКВМ М20Т1/2 (труба с резьбой G1/2). IP 66/67")</f>
        <v>приводится в действие опусканием вниз в направлении стрелок приводного элемента (ручки). Ввод из нержавейки МКВМ М20Т1/2 (труба с резьбой G1/2). IP 66/67</v>
      </c>
      <c r="C657" s="11">
        <f ca="1">IFERROR(__xludf.DUMMYFUNCTION("""COMPUTED_VALUE"""),9288)</f>
        <v>9288</v>
      </c>
      <c r="D657" s="6"/>
      <c r="E657" s="8"/>
    </row>
    <row r="658" spans="1:5" ht="63.75">
      <c r="A658" s="5" t="str">
        <f ca="1">IFERROR(__xludf.DUMMYFUNCTION("""COMPUTED_VALUE"""),"ИП 535-50-A «СЕВЕР» ПАШК.42511.126ПС (Ввод из нержавейки МКВМ М20Т3/4 (труба с резьбой G3/4)")</f>
        <v>ИП 535-50-A «СЕВЕР» ПАШК.42511.126ПС (Ввод из нержавейки МКВМ М20Т3/4 (труба с резьбой G3/4)</v>
      </c>
      <c r="B658" s="6" t="str">
        <f ca="1">IFERROR(__xludf.DUMMYFUNCTION("""COMPUTED_VALUE"""),"приводится в действие опусканием вниз в направлении стрелок приводного элемента (ручки). Ввод из нержавейки МКВМ М20Т3/4 (труба с резьбой G3/4) . IP 66/67")</f>
        <v>приводится в действие опусканием вниз в направлении стрелок приводного элемента (ручки). Ввод из нержавейки МКВМ М20Т3/4 (труба с резьбой G3/4) . IP 66/67</v>
      </c>
      <c r="C658" s="11">
        <f ca="1">IFERROR(__xludf.DUMMYFUNCTION("""COMPUTED_VALUE"""),9288)</f>
        <v>9288</v>
      </c>
      <c r="D658" s="6"/>
      <c r="E658" s="8"/>
    </row>
    <row r="659" spans="1:5" ht="63.75">
      <c r="A659" s="5" t="str">
        <f ca="1">IFERROR(__xludf.DUMMYFUNCTION("""COMPUTED_VALUE"""),"ИП 535-50-A «СЕВЕР» ПАШК.42511.126ПС (Ввод из нержавейки МКВМ М20КМ10 (металлорукав РЗЦ 10мм))")</f>
        <v>ИП 535-50-A «СЕВЕР» ПАШК.42511.126ПС (Ввод из нержавейки МКВМ М20КМ10 (металлорукав РЗЦ 10мм))</v>
      </c>
      <c r="B659" s="6" t="str">
        <f ca="1">IFERROR(__xludf.DUMMYFUNCTION("""COMPUTED_VALUE"""),"приводится в действие опусканием вниз в направлении стрелок приводного элемента (ручки). Ввод из нержавейки МКВМ М20КМ10 (металлорукав РЗЦ 10мм). IP 66/67")</f>
        <v>приводится в действие опусканием вниз в направлении стрелок приводного элемента (ручки). Ввод из нержавейки МКВМ М20КМ10 (металлорукав РЗЦ 10мм). IP 66/67</v>
      </c>
      <c r="C659" s="11">
        <f ca="1">IFERROR(__xludf.DUMMYFUNCTION("""COMPUTED_VALUE"""),9748)</f>
        <v>9748</v>
      </c>
      <c r="D659" s="6"/>
      <c r="E659" s="8"/>
    </row>
    <row r="660" spans="1:5" ht="63.75">
      <c r="A660" s="5" t="str">
        <f ca="1">IFERROR(__xludf.DUMMYFUNCTION("""COMPUTED_VALUE"""),"ИП 535-50-A «СЕВЕР» ПАШК.42511.126ПС (Ввод из нержавейки МКВМ М20КМ12 (металлорукав РЗЦ 12мм)")</f>
        <v>ИП 535-50-A «СЕВЕР» ПАШК.42511.126ПС (Ввод из нержавейки МКВМ М20КМ12 (металлорукав РЗЦ 12мм)</v>
      </c>
      <c r="B660" s="6" t="str">
        <f ca="1">IFERROR(__xludf.DUMMYFUNCTION("""COMPUTED_VALUE"""),"приводится в действие опусканием вниз в направлении стрелок приводного элемента (ручки). Ввод из нержавейки МКВМ М20КМ12 (металлорукав РЗЦ 12мм). IP 66/67")</f>
        <v>приводится в действие опусканием вниз в направлении стрелок приводного элемента (ручки). Ввод из нержавейки МКВМ М20КМ12 (металлорукав РЗЦ 12мм). IP 66/67</v>
      </c>
      <c r="C660" s="11">
        <f ca="1">IFERROR(__xludf.DUMMYFUNCTION("""COMPUTED_VALUE"""),9748)</f>
        <v>9748</v>
      </c>
      <c r="D660" s="6"/>
      <c r="E660" s="8"/>
    </row>
    <row r="661" spans="1:5" ht="76.5">
      <c r="A661" s="5" t="str">
        <f ca="1">IFERROR(__xludf.DUMMYFUNCTION("""COMPUTED_VALUE"""),"ИП 535-50-A «СЕВЕР» ПАШК.42511.126ПС (Ввод из нержавейки МКВМ М20КМ15 (Металлорукав РЗЦ 15мм)/ МКВМ М20КМ18 (Металлорукав РЗЦ 18мм))")</f>
        <v>ИП 535-50-A «СЕВЕР» ПАШК.42511.126ПС (Ввод из нержавейки МКВМ М20КМ15 (Металлорукав РЗЦ 15мм)/ МКВМ М20КМ18 (Металлорукав РЗЦ 18мм))</v>
      </c>
      <c r="B661" s="6" t="str">
        <f ca="1">IFERROR(__xludf.DUMMYFUNCTION("""COMPUTED_VALUE"""),"приводится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f>
        <v>приводится в действие опусканием вниз в направлении стрелок приводного элемента (ручки). Ввод из нержавейки МКВМ М20КМ15 (Металлорукав РЗЦ 15мм)/ МКВМ М20КМ20 (Металлорукав РЗЦ 20мм). IP 66/67</v>
      </c>
      <c r="C661" s="11">
        <f ca="1">IFERROR(__xludf.DUMMYFUNCTION("""COMPUTED_VALUE"""),10207)</f>
        <v>10207</v>
      </c>
      <c r="D661" s="6"/>
      <c r="E661" s="8"/>
    </row>
    <row r="662" spans="1:5" ht="63.75">
      <c r="A662" s="5" t="str">
        <f ca="1">IFERROR(__xludf.DUMMYFUNCTION("""COMPUTED_VALUE"""),"ИП 535-50-A «СЕВЕР» ПАШК.42511.126ПС (Ввод из нержавейки МКВМ М20В (Бронированный кабель))")</f>
        <v>ИП 535-50-A «СЕВЕР» ПАШК.42511.126ПС (Ввод из нержавейки МКВМ М20В (Бронированный кабель))</v>
      </c>
      <c r="B662" s="6" t="str">
        <f ca="1">IFERROR(__xludf.DUMMYFUNCTION("""COMPUTED_VALUE"""),"приводится в действие опусканием вниз в направлении стрелок приводного элемента (ручки). Ввод из нержавейки МКВМ М20В (Бронированный кабель). IP 66/67")</f>
        <v>приводится в действие опусканием вниз в направлении стрелок приводного элемента (ручки). Ввод из нержавейки МКВМ М20В (Бронированный кабель). IP 66/67</v>
      </c>
      <c r="C662" s="11">
        <f ca="1">IFERROR(__xludf.DUMMYFUNCTION("""COMPUTED_VALUE"""),10207)</f>
        <v>10207</v>
      </c>
      <c r="D662" s="6"/>
      <c r="E662" s="8"/>
    </row>
    <row r="663" spans="1:5" ht="63.75">
      <c r="A663" s="5" t="str">
        <f ca="1">IFERROR(__xludf.DUMMYFUNCTION("""COMPUTED_VALUE"""),"ИП 535-50-A «СЕВЕР» ПАШК.42511.126ПС (Ввод из нержавейки МКВ М20В2 (Бронированный кабель с двойным уплотнением))")</f>
        <v>ИП 535-50-A «СЕВЕР» ПАШК.42511.126ПС (Ввод из нержавейки МКВ М20В2 (Бронированный кабель с двойным уплотнением))</v>
      </c>
      <c r="B663" s="6" t="str">
        <f ca="1">IFERROR(__xludf.DUMMYFUNCTION("""COMPUTED_VALUE"""),"приводится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f>
        <v>приводится в действие опусканием вниз в направлении стрелок приводного элемента (ручки). Ввод из нержавейки МКВМ М20В2 (Бронированный кабель с двойным уплотнением). IP 66/67</v>
      </c>
      <c r="C663" s="11">
        <f ca="1">IFERROR(__xludf.DUMMYFUNCTION("""COMPUTED_VALUE"""),10207)</f>
        <v>10207</v>
      </c>
      <c r="D663" s="6"/>
      <c r="E663" s="8"/>
    </row>
    <row r="664" spans="1:5" ht="63.75">
      <c r="A664" s="5" t="str">
        <f ca="1">IFERROR(__xludf.DUMMYFUNCTION("""COMPUTED_VALUE"""),"ИП 535-50-A «СЕВЕР» ПАШК.42511.126ПС МКВМ М25 (К, В, В2, T3/4, КМ8, КМ10, КМ12, КМ15, КМ18,КМ20)")</f>
        <v>ИП 535-50-A «СЕВЕР» ПАШК.42511.126ПС МКВМ М25 (К, В, В2, T3/4, КМ8, КМ10, КМ12, КМ15, КМ18,КМ20)</v>
      </c>
      <c r="B664" s="6" t="str">
        <f ca="1">IFERROR(__xludf.DUMMYFUNCTION("""COMPUTED_VALUE"""),"приводится в действие опусканием вниз в направлении стрелок приводного элемента (ручки). Ввод из нержавейки МКВМ М25 (К, В, В2, T3/4, КМ8, КМ10, КМ12, КМ15, КМ18,КМ20). IP 66/67")</f>
        <v>приводится в действие опусканием вниз в направлении стрелок приводного элемента (ручки). Ввод из нержавейки МКВМ М25 (К, В, В2, T3/4, КМ8, КМ10, КМ12, КМ15, КМ18,КМ20). IP 66/67</v>
      </c>
      <c r="C664" s="11">
        <f ca="1">IFERROR(__xludf.DUMMYFUNCTION("""COMPUTED_VALUE"""),21888)</f>
        <v>21888</v>
      </c>
      <c r="D664" s="6"/>
      <c r="E664" s="8"/>
    </row>
    <row r="665" spans="1:5" ht="51">
      <c r="A665" s="5" t="str">
        <f ca="1">IFERROR(__xludf.DUMMYFUNCTION("""COMPUTED_VALUE"""),"ИП 535-50-B «СЕВЕР» ПАШК.42511.126ПС")</f>
        <v>ИП 535-50-B «СЕВЕР» ПАШК.42511.126ПС</v>
      </c>
      <c r="B665" s="6" t="str">
        <f ca="1">IFERROR(__xludf.DUMMYFUNCTION("""COMPUTED_VALUE"""),"приводится в действие смещением защитного элемента и опусканием приводного элемента (ручки) извещателя вниз в направлении стрелок. IP 66/67")</f>
        <v>приводится в действие смещением защитного элемента и опусканием приводного элемента (ручки) извещателя вниз в направлении стрелок. IP 66/67</v>
      </c>
      <c r="C665" s="9">
        <f ca="1">IFERROR(__xludf.DUMMYFUNCTION("""COMPUTED_VALUE"""),5304.1923)</f>
        <v>5304.1922999999997</v>
      </c>
      <c r="D665" s="6"/>
      <c r="E665" s="8"/>
    </row>
    <row r="666" spans="1:5" ht="12.75">
      <c r="A666" s="5" t="str">
        <f ca="1">IFERROR(__xludf.DUMMYFUNCTION("""COMPUTED_VALUE"""),"Защитный элемент к ИП 535-50 «СЕВЕР»")</f>
        <v>Защитный элемент к ИП 535-50 «СЕВЕР»</v>
      </c>
      <c r="B666" s="6" t="str">
        <f ca="1">IFERROR(__xludf.DUMMYFUNCTION("""COMPUTED_VALUE"""),"Защитный элемент к ИП 535-50 «СЕВЕР»")</f>
        <v>Защитный элемент к ИП 535-50 «СЕВЕР»</v>
      </c>
      <c r="C666" s="9">
        <f ca="1">IFERROR(__xludf.DUMMYFUNCTION("""COMPUTED_VALUE"""),144.6555)</f>
        <v>144.65549999999999</v>
      </c>
      <c r="D666" s="6"/>
      <c r="E666" s="8"/>
    </row>
    <row r="667" spans="1:5" ht="38.25">
      <c r="A667" s="5" t="str">
        <f ca="1">IFERROR(__xludf.DUMMYFUNCTION("""COMPUTED_VALUE"""),"ИП 535-50-A «СЕВЕР» (с дополнительным переключающим герконом, расширяющим функциональные возможности извещателя) ПАШК.42511.126ПС")</f>
        <v>ИП 535-50-A «СЕВЕР» (с дополнительным переключающим герконом, расширяющим функциональные возможности извещателя) ПАШК.42511.126ПС</v>
      </c>
      <c r="B667" s="6" t="str">
        <f ca="1">IFERROR(__xludf.DUMMYFUNCTION("""COMPUTED_VALUE"""),"1,5Вт, 30В, 0,2А IP 66/67")</f>
        <v>1,5Вт, 30В, 0,2А IP 66/67</v>
      </c>
      <c r="C667" s="9">
        <f ca="1">IFERROR(__xludf.DUMMYFUNCTION("""COMPUTED_VALUE"""),5627.0566)</f>
        <v>5627.0565999999999</v>
      </c>
      <c r="D667" s="6"/>
      <c r="E667" s="8"/>
    </row>
    <row r="668" spans="1:5" ht="38.25">
      <c r="A668" s="5" t="str">
        <f ca="1">IFERROR(__xludf.DUMMYFUNCTION("""COMPUTED_VALUE"""),"ИП 535-50-B «СЕВЕР» (с дополнительным переключающим герконом, расширяющим функциональные возможности извещателя) ПАШК.42511.126ПС")</f>
        <v>ИП 535-50-B «СЕВЕР» (с дополнительным переключающим герконом, расширяющим функциональные возможности извещателя) ПАШК.42511.126ПС</v>
      </c>
      <c r="B668" s="6" t="str">
        <f ca="1">IFERROR(__xludf.DUMMYFUNCTION("""COMPUTED_VALUE"""),"1,5Вт, 30В, 0,2А IP 66/67")</f>
        <v>1,5Вт, 30В, 0,2А IP 66/67</v>
      </c>
      <c r="C668" s="9">
        <f ca="1">IFERROR(__xludf.DUMMYFUNCTION("""COMPUTED_VALUE"""),5778.5123)</f>
        <v>5778.5123000000003</v>
      </c>
      <c r="D668" s="6"/>
      <c r="E668" s="8"/>
    </row>
    <row r="669" spans="1:5" ht="38.25">
      <c r="A669" s="5" t="str">
        <f ca="1">IFERROR(__xludf.DUMMYFUNCTION("""COMPUTED_VALUE"""),"ИП 535-50-A «СЕВЕР» (со встроенной адресной меткой Болид С2000-АР-1 исп.01) ПАШК.42511.126ПС")</f>
        <v>ИП 535-50-A «СЕВЕР» (со встроенной адресной меткой Болид С2000-АР-1 исп.01) ПАШК.42511.126ПС</v>
      </c>
      <c r="B669"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69" s="9">
        <f ca="1">IFERROR(__xludf.DUMMYFUNCTION("""COMPUTED_VALUE"""),7483.1724)</f>
        <v>7483.1724000000004</v>
      </c>
      <c r="D669" s="6"/>
      <c r="E669" s="8"/>
    </row>
    <row r="670" spans="1:5" ht="38.25">
      <c r="A670" s="5" t="str">
        <f ca="1">IFERROR(__xludf.DUMMYFUNCTION("""COMPUTED_VALUE"""),"ИП 535-50-A «СЕВЕР» (со встроенной адресной меткой Болид С2000-АР-1 исп.02) ПАШК.42511.126ПС")</f>
        <v>ИП 535-50-A «СЕВЕР» (со встроенной адресной меткой Болид С2000-АР-1 исп.02) ПАШК.42511.126ПС</v>
      </c>
      <c r="B670"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0" s="9">
        <f ca="1">IFERROR(__xludf.DUMMYFUNCTION("""COMPUTED_VALUE"""),7483.1724)</f>
        <v>7483.1724000000004</v>
      </c>
      <c r="D670" s="6"/>
      <c r="E670" s="8"/>
    </row>
    <row r="671" spans="1:5" ht="38.25">
      <c r="A671" s="5" t="str">
        <f ca="1">IFERROR(__xludf.DUMMYFUNCTION("""COMPUTED_VALUE"""),"ИП 535-50-B «СЕВЕР» (со встроенной адресной меткой Болид С2000-АР-1 исп.01) ПАШК.42511.126ПС")</f>
        <v>ИП 535-50-B «СЕВЕР» (со встроенной адресной меткой Болид С2000-АР-1 исп.01) ПАШК.42511.126ПС</v>
      </c>
      <c r="B671"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1" s="9">
        <f ca="1">IFERROR(__xludf.DUMMYFUNCTION("""COMPUTED_VALUE"""),7627.6464)</f>
        <v>7627.6463999999996</v>
      </c>
      <c r="D671" s="6"/>
      <c r="E671" s="8"/>
    </row>
    <row r="672" spans="1:5" ht="38.25">
      <c r="A672" s="5" t="str">
        <f ca="1">IFERROR(__xludf.DUMMYFUNCTION("""COMPUTED_VALUE"""),"ИП 535-50-B «СЕВЕР» (со встроенной адресной меткой Болид С2000-АР-1 исп.02) ПАШК.42511.126ПС")</f>
        <v>ИП 535-50-B «СЕВЕР» (со встроенной адресной меткой Болид С2000-АР-1 исп.02) ПАШК.42511.126ПС</v>
      </c>
      <c r="B672"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72" s="9">
        <f ca="1">IFERROR(__xludf.DUMMYFUNCTION("""COMPUTED_VALUE"""),7627.6464)</f>
        <v>7627.6463999999996</v>
      </c>
      <c r="D672" s="6"/>
      <c r="E672" s="8"/>
    </row>
    <row r="673" spans="1:5" ht="25.5">
      <c r="A673" s="5" t="str">
        <f ca="1">IFERROR(__xludf.DUMMYFUNCTION("""COMPUTED_VALUE"""),"УДП 535-26 «Север» (без вводов, глухая коробка) Новый корпус")</f>
        <v>УДП 535-26 «Север» (без вводов, глухая коробка) Новый корпус</v>
      </c>
      <c r="B673" s="6"/>
      <c r="C673" s="9">
        <f ca="1">IFERROR(__xludf.DUMMYFUNCTION("""COMPUTED_VALUE"""),5164.28)</f>
        <v>5164.28</v>
      </c>
      <c r="D673" s="6"/>
      <c r="E673" s="8"/>
    </row>
    <row r="674" spans="1:5" ht="25.5">
      <c r="A674" s="10" t="str">
        <f ca="1">IFERROR(__xludf.DUMMYFUNCTION("""COMPUTED_VALUE"""),"УДП 535-26 ""СЕВЕР"" ПАШК.425211.127ПС (Пластиковый ввод 6-12 мм) Новый корпус")</f>
        <v>УДП 535-26 "СЕВЕР" ПАШК.425211.127ПС (Пластиковый ввод 6-12 мм) Новый корпус</v>
      </c>
      <c r="B674" s="6" t="str">
        <f ca="1">IFERROR(__xludf.DUMMYFUNCTION("""COMPUTED_VALUE"""),"Пластиковый ввод 6-12 мм. IP 66/67")</f>
        <v>Пластиковый ввод 6-12 мм. IP 66/67</v>
      </c>
      <c r="C674" s="9">
        <f ca="1">IFERROR(__xludf.DUMMYFUNCTION("""COMPUTED_VALUE"""),5304.4343)</f>
        <v>5304.4342999999999</v>
      </c>
      <c r="D674" s="6"/>
      <c r="E674" s="8"/>
    </row>
    <row r="675" spans="1:5" ht="25.5">
      <c r="A675" s="5" t="str">
        <f ca="1">IFERROR(__xludf.DUMMYFUNCTION("""COMPUTED_VALUE"""),"УДП 535-26 ""СЕВЕР"" ПАШК.425211.127ПС (Пластиковый ввод 11-17 мм) Новый корпус")</f>
        <v>УДП 535-26 "СЕВЕР" ПАШК.425211.127ПС (Пластиковый ввод 11-17 мм) Новый корпус</v>
      </c>
      <c r="B675" s="6" t="str">
        <f ca="1">IFERROR(__xludf.DUMMYFUNCTION("""COMPUTED_VALUE"""),"Пластиковый ввод 11-17 мм. IP 66/67")</f>
        <v>Пластиковый ввод 11-17 мм. IP 66/67</v>
      </c>
      <c r="C675" s="9">
        <f ca="1">IFERROR(__xludf.DUMMYFUNCTION("""COMPUTED_VALUE"""),5636.785)</f>
        <v>5636.7849999999999</v>
      </c>
      <c r="D675" s="6"/>
      <c r="E675" s="8"/>
    </row>
    <row r="676" spans="1:5" ht="25.5">
      <c r="A676" s="5" t="str">
        <f ca="1">IFERROR(__xludf.DUMMYFUNCTION("""COMPUTED_VALUE"""),"УДП 535-26 ""СЕВЕР"" ПАШК.425211.127ПС (Пластиковый ввод 13-18 мм) Новый корпус")</f>
        <v>УДП 535-26 "СЕВЕР" ПАШК.425211.127ПС (Пластиковый ввод 13-18 мм) Новый корпус</v>
      </c>
      <c r="B676" s="6" t="str">
        <f ca="1">IFERROR(__xludf.DUMMYFUNCTION("""COMPUTED_VALUE"""),"Пластиковый ввод 13-18 мм. IP 66/67")</f>
        <v>Пластиковый ввод 13-18 мм. IP 66/67</v>
      </c>
      <c r="C676" s="9">
        <f ca="1">IFERROR(__xludf.DUMMYFUNCTION("""COMPUTED_VALUE"""),5812.477)</f>
        <v>5812.4769999999999</v>
      </c>
      <c r="D676" s="6"/>
      <c r="E676" s="8"/>
    </row>
    <row r="677" spans="1:5" ht="12.75">
      <c r="A677" s="5" t="str">
        <f ca="1">IFERROR(__xludf.DUMMYFUNCTION("""COMPUTED_VALUE"""),"УДП 535-50 «Север» (без вводов, глухая коробка)")</f>
        <v>УДП 535-50 «Север» (без вводов, глухая коробка)</v>
      </c>
      <c r="B677" s="6"/>
      <c r="C677" s="9">
        <f ca="1">IFERROR(__xludf.DUMMYFUNCTION("""COMPUTED_VALUE"""),5164.28)</f>
        <v>5164.28</v>
      </c>
      <c r="D677" s="6"/>
      <c r="E677" s="8"/>
    </row>
    <row r="678" spans="1:5" ht="25.5">
      <c r="A678" s="5" t="str">
        <f ca="1">IFERROR(__xludf.DUMMYFUNCTION("""COMPUTED_VALUE"""),"УДП 535-50 ""СЕВЕР"" ПАШК.425211.127ПС (Пластиковый ввод 6-12 мм) ")</f>
        <v xml:space="preserve">УДП 535-50 "СЕВЕР" ПАШК.425211.127ПС (Пластиковый ввод 6-12 мм) </v>
      </c>
      <c r="B678" s="6" t="str">
        <f ca="1">IFERROR(__xludf.DUMMYFUNCTION("""COMPUTED_VALUE"""),"Пластиковый ввод 6-12 мм. IP 66/67")</f>
        <v>Пластиковый ввод 6-12 мм. IP 66/67</v>
      </c>
      <c r="C678" s="9">
        <f ca="1">IFERROR(__xludf.DUMMYFUNCTION("""COMPUTED_VALUE"""),5304.4343)</f>
        <v>5304.4342999999999</v>
      </c>
      <c r="D678" s="6"/>
      <c r="E678" s="8"/>
    </row>
    <row r="679" spans="1:5" ht="25.5">
      <c r="A679" s="5" t="str">
        <f ca="1">IFERROR(__xludf.DUMMYFUNCTION("""COMPUTED_VALUE"""),"УДП 535-50 ""СЕВЕР"" ПАШК.425211.127ПС (Пластиковый ввод 11-17 мм)")</f>
        <v>УДП 535-50 "СЕВЕР" ПАШК.425211.127ПС (Пластиковый ввод 11-17 мм)</v>
      </c>
      <c r="B679" s="6" t="str">
        <f ca="1">IFERROR(__xludf.DUMMYFUNCTION("""COMPUTED_VALUE"""),"Пластиковый ввод 11-17 мм. IP 66/67")</f>
        <v>Пластиковый ввод 11-17 мм. IP 66/67</v>
      </c>
      <c r="C679" s="9">
        <f ca="1">IFERROR(__xludf.DUMMYFUNCTION("""COMPUTED_VALUE"""),5636.785)</f>
        <v>5636.7849999999999</v>
      </c>
      <c r="D679" s="6"/>
      <c r="E679" s="8"/>
    </row>
    <row r="680" spans="1:5" ht="25.5">
      <c r="A680" s="5" t="str">
        <f ca="1">IFERROR(__xludf.DUMMYFUNCTION("""COMPUTED_VALUE"""),"УДП 535-50 ""СЕВЕР"" ПАШК.425211.127ПС (Пластиковый ввод 13-18 мм)")</f>
        <v>УДП 535-50 "СЕВЕР" ПАШК.425211.127ПС (Пластиковый ввод 13-18 мм)</v>
      </c>
      <c r="B680" s="6" t="str">
        <f ca="1">IFERROR(__xludf.DUMMYFUNCTION("""COMPUTED_VALUE"""),"Пластиковый ввод 13-18 мм. IP 66/67")</f>
        <v>Пластиковый ввод 13-18 мм. IP 66/67</v>
      </c>
      <c r="C680" s="9">
        <f ca="1">IFERROR(__xludf.DUMMYFUNCTION("""COMPUTED_VALUE"""),5812.477)</f>
        <v>5812.4769999999999</v>
      </c>
      <c r="D680" s="6"/>
      <c r="E680" s="8"/>
    </row>
    <row r="681" spans="1:5" ht="25.5">
      <c r="A681" s="5" t="str">
        <f ca="1">IFERROR(__xludf.DUMMYFUNCTION("""COMPUTED_VALUE"""),"УДП 535-50 ""СЕВЕР"" ПАШК.425211.127ПС (Ввод из нержавейки МКВМ М20К (открытая прокладка кабеля)")</f>
        <v>УДП 535-50 "СЕВЕР" ПАШК.425211.127ПС (Ввод из нержавейки МКВМ М20К (открытая прокладка кабеля)</v>
      </c>
      <c r="B681" s="6" t="str">
        <f ca="1">IFERROR(__xludf.DUMMYFUNCTION("""COMPUTED_VALUE"""),"Ввод из нержавейки МКВМ М20К (открытая прокладка кабеля) . IP 66/67")</f>
        <v>Ввод из нержавейки МКВМ М20К (открытая прокладка кабеля) . IP 66/67</v>
      </c>
      <c r="C681" s="11">
        <f ca="1">IFERROR(__xludf.DUMMYFUNCTION("""COMPUTED_VALUE"""),9420)</f>
        <v>9420</v>
      </c>
      <c r="D681" s="6"/>
      <c r="E681" s="8"/>
    </row>
    <row r="682" spans="1:5" ht="25.5">
      <c r="A682" s="5" t="str">
        <f ca="1">IFERROR(__xludf.DUMMYFUNCTION("""COMPUTED_VALUE"""),"УДП 535-50 ""СЕВЕР"" ПАШК.425211.127ПС (Ввод из нержавейки МКВМ М20Т1/2 (труба с резьбой G1/2))")</f>
        <v>УДП 535-50 "СЕВЕР" ПАШК.425211.127ПС (Ввод из нержавейки МКВМ М20Т1/2 (труба с резьбой G1/2))</v>
      </c>
      <c r="B682" s="6" t="str">
        <f ca="1">IFERROR(__xludf.DUMMYFUNCTION("""COMPUTED_VALUE"""),"Ввод из нержавейки МКВМ М20Т1/2 (труба с резьбой G1/2). IP 66/67")</f>
        <v>Ввод из нержавейки МКВМ М20Т1/2 (труба с резьбой G1/2). IP 66/67</v>
      </c>
      <c r="C682" s="11">
        <f ca="1">IFERROR(__xludf.DUMMYFUNCTION("""COMPUTED_VALUE"""),9420)</f>
        <v>9420</v>
      </c>
      <c r="D682" s="6"/>
      <c r="E682" s="8"/>
    </row>
    <row r="683" spans="1:5" ht="25.5">
      <c r="A683" s="5" t="str">
        <f ca="1">IFERROR(__xludf.DUMMYFUNCTION("""COMPUTED_VALUE"""),"УДП 535-50 ""СЕВЕР"" ПАШК.425211.127ПС (Ввод из нержавейки МКВМ М20Т3/4 (труба с резьбой G3/4))")</f>
        <v>УДП 535-50 "СЕВЕР" ПАШК.425211.127ПС (Ввод из нержавейки МКВМ М20Т3/4 (труба с резьбой G3/4))</v>
      </c>
      <c r="B683" s="6" t="str">
        <f ca="1">IFERROR(__xludf.DUMMYFUNCTION("""COMPUTED_VALUE"""),"Ввод из нержавейки МКВМ М20Т3/4 (труба с резьбой G3/4) . IP 66/67")</f>
        <v>Ввод из нержавейки МКВМ М20Т3/4 (труба с резьбой G3/4) . IP 66/67</v>
      </c>
      <c r="C683" s="11">
        <f ca="1">IFERROR(__xludf.DUMMYFUNCTION("""COMPUTED_VALUE"""),9420)</f>
        <v>9420</v>
      </c>
      <c r="D683" s="6"/>
      <c r="E683" s="8"/>
    </row>
    <row r="684" spans="1:5" ht="25.5">
      <c r="A684" s="5" t="str">
        <f ca="1">IFERROR(__xludf.DUMMYFUNCTION("""COMPUTED_VALUE"""),"УДП 535-50 ""СЕВЕР"" ПАШК.425211.127ПС (Ввод из нержавейки МКВМ М20КМ10 (металлорукав РЗЦ 10мм))")</f>
        <v>УДП 535-50 "СЕВЕР" ПАШК.425211.127ПС (Ввод из нержавейки МКВМ М20КМ10 (металлорукав РЗЦ 10мм))</v>
      </c>
      <c r="B684" s="6" t="str">
        <f ca="1">IFERROR(__xludf.DUMMYFUNCTION("""COMPUTED_VALUE"""),"Ввод из нержавейки МКВМ М20КМ10 (металлорукав РЗЦ 10мм). IP 66/67")</f>
        <v>Ввод из нержавейки МКВМ М20КМ10 (металлорукав РЗЦ 10мм). IP 66/67</v>
      </c>
      <c r="C684" s="11">
        <f ca="1">IFERROR(__xludf.DUMMYFUNCTION("""COMPUTED_VALUE"""),9879)</f>
        <v>9879</v>
      </c>
      <c r="D684" s="6"/>
      <c r="E684" s="8"/>
    </row>
    <row r="685" spans="1:5" ht="25.5">
      <c r="A685" s="5" t="str">
        <f ca="1">IFERROR(__xludf.DUMMYFUNCTION("""COMPUTED_VALUE"""),"УДП 535-50 ""СЕВЕР"" ПАШК.425211.127ПС (Ввод из нержавейки МКВМ М20КМ12 (металлорукав РЗЦ 12мм))")</f>
        <v>УДП 535-50 "СЕВЕР" ПАШК.425211.127ПС (Ввод из нержавейки МКВМ М20КМ12 (металлорукав РЗЦ 12мм))</v>
      </c>
      <c r="B685" s="6" t="str">
        <f ca="1">IFERROR(__xludf.DUMMYFUNCTION("""COMPUTED_VALUE"""),"Ввод из нержавейки МКВМ М20КМ12 (металлорукав РЗЦ 12мм). IP 66/67")</f>
        <v>Ввод из нержавейки МКВМ М20КМ12 (металлорукав РЗЦ 12мм). IP 66/67</v>
      </c>
      <c r="C685" s="11">
        <f ca="1">IFERROR(__xludf.DUMMYFUNCTION("""COMPUTED_VALUE"""),9879)</f>
        <v>9879</v>
      </c>
      <c r="D685" s="6"/>
      <c r="E685" s="8"/>
    </row>
    <row r="686" spans="1:5" ht="51">
      <c r="A686" s="5" t="str">
        <f ca="1">IFERROR(__xludf.DUMMYFUNCTION("""COMPUTED_VALUE"""),"УДП 535-50 ""СЕВЕР"" ПАШК.425211.127ПС (Ввод из нержавейки МКВМ М20КМ15 (Металлорукав РЗЦ 15мм)/ МКВМ М20КМ18 (Металлорукав РЗЦ 18мм))")</f>
        <v>УДП 535-50 "СЕВЕР" ПАШК.425211.127ПС (Ввод из нержавейки МКВМ М20КМ15 (Металлорукав РЗЦ 15мм)/ МКВМ М20КМ18 (Металлорукав РЗЦ 18мм))</v>
      </c>
      <c r="B686" s="6" t="str">
        <f ca="1">IFERROR(__xludf.DUMMYFUNCTION("""COMPUTED_VALUE"""),"Ввод из нержавейки МКВМ М20КМ15 (Металлорукав РЗЦ 15мм)/ МКВМ М20КМ20 (Металлорукав РЗЦ 20мм). IP 66/67")</f>
        <v>Ввод из нержавейки МКВМ М20КМ15 (Металлорукав РЗЦ 15мм)/ МКВМ М20КМ20 (Металлорукав РЗЦ 20мм). IP 66/67</v>
      </c>
      <c r="C686" s="11">
        <f ca="1">IFERROR(__xludf.DUMMYFUNCTION("""COMPUTED_VALUE"""),10338)</f>
        <v>10338</v>
      </c>
      <c r="D686" s="6"/>
      <c r="E686" s="8"/>
    </row>
    <row r="687" spans="1:5" ht="25.5">
      <c r="A687" s="5" t="str">
        <f ca="1">IFERROR(__xludf.DUMMYFUNCTION("""COMPUTED_VALUE"""),"УДП 535-50 ""СЕВЕР"" ПАШК.425211.127ПС (Ввод из нержавейки МКВМ М20В (Бронированный кабель))")</f>
        <v>УДП 535-50 "СЕВЕР" ПАШК.425211.127ПС (Ввод из нержавейки МКВМ М20В (Бронированный кабель))</v>
      </c>
      <c r="B687" s="6" t="str">
        <f ca="1">IFERROR(__xludf.DUMMYFUNCTION("""COMPUTED_VALUE"""),"Ввод из нержавейки МКВМ М20В (Бронированный кабель). IP 66/67")</f>
        <v>Ввод из нержавейки МКВМ М20В (Бронированный кабель). IP 66/67</v>
      </c>
      <c r="C687" s="11">
        <f ca="1">IFERROR(__xludf.DUMMYFUNCTION("""COMPUTED_VALUE"""),10338)</f>
        <v>10338</v>
      </c>
      <c r="D687" s="6"/>
      <c r="E687" s="8"/>
    </row>
    <row r="688" spans="1:5" ht="38.25">
      <c r="A688" s="5" t="str">
        <f ca="1">IFERROR(__xludf.DUMMYFUNCTION("""COMPUTED_VALUE"""),"УДП 535-50 ""СЕВЕР"" ПАШК.425211.127ПС (Ввод из нержавейки МКВ М20В2 (Бронированный кабель с двойным уплотнением))")</f>
        <v>УДП 535-50 "СЕВЕР" ПАШК.425211.127ПС (Ввод из нержавейки МКВ М20В2 (Бронированный кабель с двойным уплотнением))</v>
      </c>
      <c r="B688" s="6" t="str">
        <f ca="1">IFERROR(__xludf.DUMMYFUNCTION("""COMPUTED_VALUE"""),"Ввод из нержавейки МКВМ М20В2 (Бронированный кабель с двойным уплотнением). IP 66/67")</f>
        <v>Ввод из нержавейки МКВМ М20В2 (Бронированный кабель с двойным уплотнением). IP 66/67</v>
      </c>
      <c r="C688" s="11">
        <f ca="1">IFERROR(__xludf.DUMMYFUNCTION("""COMPUTED_VALUE"""),10338)</f>
        <v>10338</v>
      </c>
      <c r="D688" s="6"/>
      <c r="E688" s="8"/>
    </row>
    <row r="689" spans="1:5" ht="38.25">
      <c r="A689" s="5" t="str">
        <f ca="1">IFERROR(__xludf.DUMMYFUNCTION("""COMPUTED_VALUE"""),"УДП 535-50 ""СЕВЕР"" с МКВМ М25 (К, В, В2, T3/4, КМ8, КМ10, КМ12, КМ15, КМ18,КМ20)")</f>
        <v>УДП 535-50 "СЕВЕР" с МКВМ М25 (К, В, В2, T3/4, КМ8, КМ10, КМ12, КМ15, КМ18,КМ20)</v>
      </c>
      <c r="B689" s="6" t="str">
        <f ca="1">IFERROR(__xludf.DUMMYFUNCTION("""COMPUTED_VALUE"""),"Ввод из нержавейки МКВМ М25 (К, В, В2, T3/4, КМ8, КМ10, КМ12, КМ15, КМ18,КМ20). IP 66/67")</f>
        <v>Ввод из нержавейки МКВМ М25 (К, В, В2, T3/4, КМ8, КМ10, КМ12, КМ15, КМ18,КМ20). IP 66/67</v>
      </c>
      <c r="C689" s="11">
        <f ca="1">IFERROR(__xludf.DUMMYFUNCTION("""COMPUTED_VALUE"""),22644)</f>
        <v>22644</v>
      </c>
      <c r="D689" s="6"/>
      <c r="E689" s="8"/>
    </row>
    <row r="690" spans="1:5" ht="38.25">
      <c r="A690" s="5" t="str">
        <f ca="1">IFERROR(__xludf.DUMMYFUNCTION("""COMPUTED_VALUE"""),"УДП 535-50 ""СЕВЕР"" (со встроенной адресной меткой Болид С2000-АР-1 исп.01) ПАШК.42511.126ПС")</f>
        <v>УДП 535-50 "СЕВЕР" (со встроенной адресной меткой Болид С2000-АР-1 исп.01) ПАШК.42511.126ПС</v>
      </c>
      <c r="B690"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90" s="9">
        <f ca="1">IFERROR(__xludf.DUMMYFUNCTION("""COMPUTED_VALUE"""),7483.1724)</f>
        <v>7483.1724000000004</v>
      </c>
      <c r="D690" s="6"/>
      <c r="E690" s="8"/>
    </row>
    <row r="691" spans="1:5" ht="38.25">
      <c r="A691" s="5" t="str">
        <f ca="1">IFERROR(__xludf.DUMMYFUNCTION("""COMPUTED_VALUE"""),"УДП 535-50 ""СЕВЕР"" (со встроенной адресной меткой Болид С2000-АР-1 исп.02) ПАШК.42511.126ПС")</f>
        <v>УДП 535-50 "СЕВЕР" (со встроенной адресной меткой Болид С2000-АР-1 исп.02) ПАШК.42511.126ПС</v>
      </c>
      <c r="B691" s="6" t="str">
        <f ca="1">IFERROR(__xludf.DUMMYFUNCTION("""COMPUTED_VALUE"""),"Для работы с системах Болид. Применяется с контроллерами ""С2000-КДЛ"" и ""С2000-КДЛ-2И"".")</f>
        <v>Для работы с системах Болид. Применяется с контроллерами "С2000-КДЛ" и "С2000-КДЛ-2И".</v>
      </c>
      <c r="C691" s="9">
        <f ca="1">IFERROR(__xludf.DUMMYFUNCTION("""COMPUTED_VALUE"""),7483.1724)</f>
        <v>7483.1724000000004</v>
      </c>
      <c r="D691" s="6"/>
      <c r="E691" s="8"/>
    </row>
    <row r="692" spans="1:5" ht="76.5">
      <c r="A692" s="5" t="str">
        <f ca="1">IFERROR(__xludf.DUMMYFUNCTION("""COMPUTED_VALUE"""),"УДП 535-50 «СЕВЕР» 0Ex iа IIС Т6 Gа Х ПАШК.425211.127ПС (Пластиковый ввод 6-12 мм)")</f>
        <v>УДП 535-50 «СЕВЕР» 0Ex iа IIС Т6 Gа Х ПАШК.425211.127ПС (Пластиковый ввод 6-12 мм)</v>
      </c>
      <c r="B69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6-12 мм. IP 66/67</v>
      </c>
      <c r="C692" s="9">
        <f ca="1">IFERROR(__xludf.DUMMYFUNCTION("""COMPUTED_VALUE"""),7346.8538)</f>
        <v>7346.8537999999999</v>
      </c>
      <c r="D692" s="6"/>
      <c r="E692" s="8"/>
    </row>
    <row r="693" spans="1:5" ht="76.5">
      <c r="A693" s="5" t="str">
        <f ca="1">IFERROR(__xludf.DUMMYFUNCTION("""COMPUTED_VALUE"""),"УДП 535-50 «СЕВЕР» 0Ex iа IIС Т6 Gа Х ПАШК.425211.127ПС (Пластиковый ввод 11-17 мм)")</f>
        <v>УДП 535-50 «СЕВЕР» 0Ex iа IIС Т6 Gа Х ПАШК.425211.127ПС (Пластиковый ввод 11-17 мм)</v>
      </c>
      <c r="B69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11-17 мм. IP 66/67</v>
      </c>
      <c r="C693" s="9">
        <f ca="1">IFERROR(__xludf.DUMMYFUNCTION("""COMPUTED_VALUE"""),7686.525)</f>
        <v>7686.5249999999996</v>
      </c>
      <c r="D693" s="6"/>
      <c r="E693" s="8"/>
    </row>
    <row r="694" spans="1:5" ht="76.5">
      <c r="A694" s="5" t="str">
        <f ca="1">IFERROR(__xludf.DUMMYFUNCTION("""COMPUTED_VALUE"""),"УДП 535-50 «СЕВЕР» 0Ex iа IIС Т6 Gа Х ПАШК.425211.127ПС (Пластиковый ввод 13-18 мм)")</f>
        <v>УДП 535-50 «СЕВЕР» 0Ex iа IIС Т6 Gа Х ПАШК.425211.127ПС (Пластиковый ввод 13-18 мм)</v>
      </c>
      <c r="B694"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f>
        <v>Извещатель приводится в действие смещением защитного элемента и опусканием приводного элемента (ручки) извещателя вниз в направлении стрелок. Пластиковый ввод 13-18 мм. IP 66/67</v>
      </c>
      <c r="C694" s="9">
        <f ca="1">IFERROR(__xludf.DUMMYFUNCTION("""COMPUTED_VALUE"""),7862.217)</f>
        <v>7862.2169999999996</v>
      </c>
      <c r="D694" s="6"/>
      <c r="E694" s="8"/>
    </row>
    <row r="695" spans="1:5" ht="89.25">
      <c r="A695" s="5" t="str">
        <f ca="1">IFERROR(__xludf.DUMMYFUNCTION("""COMPUTED_VALUE"""),"УДП 535-50 «СЕВЕР» 0Ex iа IIС Т6 Gа Х ПАШК.425211.127ПС (Ввод из нержавейки МКВМ М20К (открытая прокладка кабеля))")</f>
        <v>УДП 535-50 «СЕВЕР» 0Ex iа IIС Т6 Gа Х ПАШК.425211.127ПС (Ввод из нержавейки МКВМ М20К (открытая прокладка кабеля))</v>
      </c>
      <c r="B695"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 (открытая прокладка кабеля). IP 66/67</v>
      </c>
      <c r="C695" s="11">
        <f ca="1">IFERROR(__xludf.DUMMYFUNCTION("""COMPUTED_VALUE"""),11276)</f>
        <v>11276</v>
      </c>
      <c r="D695" s="6"/>
      <c r="E695" s="8"/>
    </row>
    <row r="696" spans="1:5" ht="76.5">
      <c r="A696" s="5" t="str">
        <f ca="1">IFERROR(__xludf.DUMMYFUNCTION("""COMPUTED_VALUE"""),"УДП 535-50 «СЕВЕР» 0Ex iа IIС Т6 Gа Х ПАШК.425211.127ПС (Ввод из нержавейки МКВМ М20Т1/2 (труба с резьбой G1/2))")</f>
        <v>УДП 535-50 «СЕВЕР» 0Ex iа IIС Т6 Gа Х ПАШК.425211.127ПС (Ввод из нержавейки МКВМ М20Т1/2 (труба с резьбой G1/2))</v>
      </c>
      <c r="B696"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М20Т1/2 (труба с резьбой G1/2). IP 66/67</v>
      </c>
      <c r="C696" s="11">
        <f ca="1">IFERROR(__xludf.DUMMYFUNCTION("""COMPUTED_VALUE"""),11276)</f>
        <v>11276</v>
      </c>
      <c r="D696" s="6"/>
      <c r="E696" s="8"/>
    </row>
    <row r="697" spans="1:5" ht="89.25">
      <c r="A697" s="5" t="str">
        <f ca="1">IFERROR(__xludf.DUMMYFUNCTION("""COMPUTED_VALUE"""),"УДП 535-50 «СЕВЕР» 0Ex iа IIС Т6 Gа Х ПАШК.425211.127ПС (Ввод из нержавейки МКВМ М20Т3/4 (труба с резьбой G3/4))")</f>
        <v>УДП 535-50 «СЕВЕР» 0Ex iа IIС Т6 Gа Х ПАШК.425211.127ПС (Ввод из нержавейки МКВМ М20Т3/4 (труба с резьбой G3/4))</v>
      </c>
      <c r="B697"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М20Т3/4 (труба с резьбой G3/4) . IP 66/67</v>
      </c>
      <c r="C697" s="11">
        <f ca="1">IFERROR(__xludf.DUMMYFUNCTION("""COMPUTED_VALUE"""),11276)</f>
        <v>11276</v>
      </c>
      <c r="D697" s="6"/>
      <c r="E697" s="8"/>
    </row>
    <row r="698" spans="1:5" ht="89.25">
      <c r="A698" s="5" t="str">
        <f ca="1">IFERROR(__xludf.DUMMYFUNCTION("""COMPUTED_VALUE"""),"УДП 535-50 «СЕВЕР» 0Ex iа IIС Т6 Gа Х ПАШК.425211.127ПС (Ввод из нержавейки МКВМ М20КМ10 (металлорукав РЗЦ 10мм))")</f>
        <v>УДП 535-50 «СЕВЕР» 0Ex iа IIС Т6 Gа Х ПАШК.425211.127ПС (Ввод из нержавейки МКВМ М20КМ10 (металлорукав РЗЦ 10мм))</v>
      </c>
      <c r="B698"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М20КМ10 (металлорукав РЗЦ 10мм). IP 66/67</v>
      </c>
      <c r="C698" s="11">
        <f ca="1">IFERROR(__xludf.DUMMYFUNCTION("""COMPUTED_VALUE"""),11735)</f>
        <v>11735</v>
      </c>
      <c r="D698" s="6"/>
      <c r="E698" s="8"/>
    </row>
    <row r="699" spans="1:5" ht="89.25">
      <c r="A699" s="5" t="str">
        <f ca="1">IFERROR(__xludf.DUMMYFUNCTION("""COMPUTED_VALUE"""),"УДП 535-50 «СЕВЕР» 0Ex iа IIС Т6 Gа Х ПАШК.425211.127ПС ( Ввод из нержавейки МКВМ М20КМ12 (металлорукав РЗЦ 12мм))")</f>
        <v>УДП 535-50 «СЕВЕР» 0Ex iа IIС Т6 Gа Х ПАШК.425211.127ПС ( Ввод из нержавейки МКВМ М20КМ12 (металлорукав РЗЦ 12мм))</v>
      </c>
      <c r="B699"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М20КМ12 (металлорукав РЗЦ 12мм). IP 66/67</v>
      </c>
      <c r="C699" s="11">
        <f ca="1">IFERROR(__xludf.DUMMYFUNCTION("""COMPUTED_VALUE"""),11735)</f>
        <v>11735</v>
      </c>
      <c r="D699" s="6"/>
      <c r="E699" s="8"/>
    </row>
    <row r="700" spans="1:5" ht="102">
      <c r="A700" s="5" t="str">
        <f ca="1">IFERROR(__xludf.DUMMYFUNCTION("""COMPUTED_VALUE"""),"УДП 535-50 «СЕВЕР» 0Ex iа IIС Т6 Gа Х ПАШК.425211.127ПС (Ввод из нержавейки МКВМ М20КМ15 (Металлорукав РЗЦ 15мм)/ МКВМ М20КМ18 (Металлорукав РЗЦ 18мм))")</f>
        <v>УДП 535-50 «СЕВЕР» 0Ex iа IIС Т6 Gа Х ПАШК.425211.127ПС (Ввод из нержавейки МКВМ М20КМ15 (Металлорукав РЗЦ 15мм)/ МКВМ М20КМ18 (Металлорукав РЗЦ 18мм))</v>
      </c>
      <c r="B700"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М20КМ15 (Металлорукав РЗЦ 15мм)/ МКВМ М20КМ20 (Металлорукав РЗЦ 20мм). IP 66/67</v>
      </c>
      <c r="C700" s="11">
        <f ca="1">IFERROR(__xludf.DUMMYFUNCTION("""COMPUTED_VALUE"""),12195)</f>
        <v>12195</v>
      </c>
      <c r="D700" s="6"/>
      <c r="E700" s="8"/>
    </row>
    <row r="701" spans="1:5" ht="76.5">
      <c r="A701" s="5" t="str">
        <f ca="1">IFERROR(__xludf.DUMMYFUNCTION("""COMPUTED_VALUE"""),"УДП 535-50 «СЕВЕР» 0Ex iа IIС Т6 Gа Х ПАШК.425211.127ПС (Ввод из нержавейки МКВМ М20В (Бронированный кабель))")</f>
        <v>УДП 535-50 «СЕВЕР» 0Ex iа IIС Т6 Gа Х ПАШК.425211.127ПС (Ввод из нержавейки МКВМ М20В (Бронированный кабель))</v>
      </c>
      <c r="B701"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 (Бронированный кабель). IP 66/67</v>
      </c>
      <c r="C701" s="11">
        <f ca="1">IFERROR(__xludf.DUMMYFUNCTION("""COMPUTED_VALUE"""),12195)</f>
        <v>12195</v>
      </c>
      <c r="D701" s="6"/>
      <c r="E701" s="8"/>
    </row>
    <row r="702" spans="1:5" ht="89.25">
      <c r="A702" s="5" t="str">
        <f ca="1">IFERROR(__xludf.DUMMYFUNCTION("""COMPUTED_VALUE"""),"УДП 535-50 «СЕВЕР» 0Ex iа IIС Т6 Gа Х ПАШК.425211.127ПС (Ввод из нержавейки МКВМ М20В2 (Бронированный кабель с двойным уплотнением))")</f>
        <v>УДП 535-50 «СЕВЕР» 0Ex iа IIС Т6 Gа Х ПАШК.425211.127ПС (Ввод из нержавейки МКВМ М20В2 (Бронированный кабель с двойным уплотнением))</v>
      </c>
      <c r="B702"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М20В2 (Бронированный кабель с двойным уплотнением). IP 66/67</v>
      </c>
      <c r="C702" s="11">
        <f ca="1">IFERROR(__xludf.DUMMYFUNCTION("""COMPUTED_VALUE"""),12195)</f>
        <v>12195</v>
      </c>
      <c r="D702" s="6"/>
      <c r="E702" s="8"/>
    </row>
    <row r="703" spans="1:5" ht="89.25">
      <c r="A703" s="5" t="str">
        <f ca="1">IFERROR(__xludf.DUMMYFUNCTION("""COMPUTED_VALUE"""),"УДП 535-50 «СЕВЕР» 0Ex iа IIС Т6 Gа Х с МКВМ М25 (К, В, В2, T3/4, КМ8, КМ10, КМ12, КМ15, КМ18,КМ20)")</f>
        <v>УДП 535-50 «СЕВЕР» 0Ex iа IIС Т6 Gа Х с МКВМ М25 (К, В, В2, T3/4, КМ8, КМ10, КМ12, КМ15, КМ18,КМ20)</v>
      </c>
      <c r="B703" s="6" t="str">
        <f ca="1">IFERROR(__xludf.DUMMYFUNCTION("""COMPUTED_VALUE"""),"Извещатель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f>
        <v>Извещатель приводится в действие смещением защитного элемента и опусканием приводного элемента (ручки) извещателя вниз в направлении стрелок. Ввод из нержавейки МКВМ М25 (К, В, В2, T3/4, КМ8, КМ10, КМ12, КМ15, КМ18,КМ20). IP 66/67</v>
      </c>
      <c r="C703" s="11">
        <f ca="1">IFERROR(__xludf.DUMMYFUNCTION("""COMPUTED_VALUE"""),24475)</f>
        <v>24475</v>
      </c>
      <c r="D703" s="6"/>
      <c r="E703" s="8"/>
    </row>
    <row r="704" spans="1:5" ht="38.25">
      <c r="A704" s="5" t="str">
        <f ca="1">IFERROR(__xludf.DUMMYFUNCTION("""COMPUTED_VALUE"""),"К-04 (нержавейка Ех) 170х100х100")</f>
        <v>К-04 (нержавейка Ех) 170х100х100</v>
      </c>
      <c r="B704" s="6" t="str">
        <f ca="1">IFERROR(__xludf.DUMMYFUNCTION("""COMPUTED_VALUE"""),"Для защиты от механического повреждения и осадков. Из нержавеющей стали толщиной 0,5 мм.")</f>
        <v>Для защиты от механического повреждения и осадков. Из нержавеющей стали толщиной 0,5 мм.</v>
      </c>
      <c r="C704" s="9">
        <f ca="1">IFERROR(__xludf.DUMMYFUNCTION("""COMPUTED_VALUE"""),1447.16)</f>
        <v>1447.16</v>
      </c>
      <c r="D704" s="6"/>
      <c r="E704" s="8"/>
    </row>
    <row r="705" spans="1:5" ht="63.75">
      <c r="A705" s="5" t="str">
        <f ca="1">IFERROR(__xludf.DUMMYFUNCTION("""COMPUTED_VALUE"""),"К-04 (S) 170х100х100")</f>
        <v>К-04 (S) 170х100х100</v>
      </c>
      <c r="B705" s="6" t="str">
        <f ca="1">IFERROR(__xludf.DUMMYFUNCTION("""COMPUTED_VALUE"""),"Для защиты от механического повреждения и осадков. Из стали Ст-3 толщиной 1 мм. Цвет – красный, желтый, оранжевый, зеленый (определяется при заказе).")</f>
        <v>Для защиты от механического повреждения и осадков. Из стали Ст-3 толщиной 1 мм. Цвет – красный, желтый, оранжевый, зеленый (определяется при заказе).</v>
      </c>
      <c r="C705" s="9">
        <f ca="1">IFERROR(__xludf.DUMMYFUNCTION("""COMPUTED_VALUE"""),1447.16)</f>
        <v>1447.16</v>
      </c>
      <c r="D705" s="6"/>
      <c r="E705" s="8"/>
    </row>
    <row r="706" spans="1:5" ht="89.25">
      <c r="A706" s="5" t="str">
        <f ca="1">IFERROR(__xludf.DUMMYFUNCTION("""COMPUTED_VALUE"""),"ДПМГ-26Ех-40 0Ex ia IIC T6 Ga/РО Ex ia I Ma ПАШК.425119.120 ТУ")</f>
        <v>ДПМГ-26Ех-40 0Ex ia IIC T6 Ga/РО Ex ia I Ma ПАШК.425119.120 ТУ</v>
      </c>
      <c r="B706" s="6" t="str">
        <f ca="1">IFERROR(__xludf.DUMMYFUNCTION("""COMPUTED_VALUE"""),"Контакты датчика гарантированно замыкаются при расстоянии между датчиком и магнитом 40 мм и гарантированно разомкнуты на расстоянии 100 мм. Габаритные размеры блока геркона 160х55х52 мм, блока магнитов 150х70х38 мм.")</f>
        <v>Контакты датчика гарантированно замыкаются при расстоянии между датчиком и магнитом 40 мм и гарантированно разомкнуты на расстоянии 100 мм. Габаритные размеры блока геркона 160х55х52 мм, блока магнитов 150х70х38 мм.</v>
      </c>
      <c r="C706" s="9">
        <f ca="1">IFERROR(__xludf.DUMMYFUNCTION("""COMPUTED_VALUE"""),6592)</f>
        <v>6592</v>
      </c>
      <c r="D706" s="6"/>
      <c r="E706" s="8"/>
    </row>
    <row r="707" spans="1:5" ht="89.25">
      <c r="A707" s="5" t="str">
        <f ca="1">IFERROR(__xludf.DUMMYFUNCTION("""COMPUTED_VALUE"""),"ДПМГ-26Ех-100 0Ex ia IIC T6 Ga/РО Ex ia I Ma ПАШК.425119.120 ТУ")</f>
        <v>ДПМГ-26Ех-100 0Ex ia IIC T6 Ga/РО Ex ia I Ma ПАШК.425119.120 ТУ</v>
      </c>
      <c r="B707" s="6" t="str">
        <f ca="1">IFERROR(__xludf.DUMMYFUNCTION("""COMPUTED_VALUE"""),"Контакты датчика гарантированно замыкаются при расстоянии между датчиком и магнитом 100 мм и гарантированно разомкнуты на расстоянии 160 мм.Габаритные размеры блока геркона 160х55х52 мм, блока магнитов 150х70х38 мм")</f>
        <v>Контакты датчика гарантированно замыкаются при расстоянии между датчиком и магнитом 100 мм и гарантированно разомкнуты на расстоянии 160 мм.Габаритные размеры блока геркона 160х55х52 мм, блока магнитов 150х70х38 мм</v>
      </c>
      <c r="C707" s="9">
        <f ca="1">IFERROR(__xludf.DUMMYFUNCTION("""COMPUTED_VALUE"""),7008)</f>
        <v>7008</v>
      </c>
      <c r="D707" s="6"/>
      <c r="E707" s="8"/>
    </row>
    <row r="708" spans="1:5" ht="89.25">
      <c r="A708" s="5" t="str">
        <f ca="1">IFERROR(__xludf.DUMMYFUNCTION("""COMPUTED_VALUE"""),"ДПМГ-26Ех-200 0Ex ia IIC T6 Ga/РО Ex ia I Ma ПАШК.425119.120 ТУ")</f>
        <v>ДПМГ-26Ех-200 0Ex ia IIC T6 Ga/РО Ex ia I Ma ПАШК.425119.120 ТУ</v>
      </c>
      <c r="B708" s="6" t="str">
        <f ca="1">IFERROR(__xludf.DUMMYFUNCTION("""COMPUTED_VALUE"""),"Контакты датчика гарантированно замыкаются при расстоянии между датчиком и магнитом 200 мм и гарантированно разомкнуты на расстоянии 260 мм.Габаритные размеры блока геркона 160х55х52 мм, блока магнитов 287х100х41,5мм.")</f>
        <v>Контакты датчика гарантированно замыкаются при расстоянии между датчиком и магнитом 200 мм и гарантированно разомкнуты на расстоянии 260 мм.Габаритные размеры блока геркона 160х55х52 мм, блока магнитов 287х100х41,5мм.</v>
      </c>
      <c r="C708" s="9">
        <f ca="1">IFERROR(__xludf.DUMMYFUNCTION("""COMPUTED_VALUE"""),8337)</f>
        <v>8337</v>
      </c>
      <c r="D708" s="6"/>
      <c r="E708" s="8"/>
    </row>
    <row r="709" spans="1:5" ht="63.75">
      <c r="A709" s="5" t="str">
        <f ca="1">IFERROR(__xludf.DUMMYFUNCTION("""COMPUTED_VALUE"""),"ИО 102-53 - 40 ПАШК.425119.124ПС")</f>
        <v>ИО 102-53 - 40 ПАШК.425119.124ПС</v>
      </c>
      <c r="B709" s="6" t="str">
        <f ca="1">IFERROR(__xludf.DUMMYFUNCTION("""COMPUTED_VALUE"""),"Контакты датчика гарантированно замыкаются при расстоянии между датчиком и магнитом 40 мм и гарантированно разомкнуты на расстоянии 100 мм. IP68")</f>
        <v>Контакты датчика гарантированно замыкаются при расстоянии между датчиком и магнитом 40 мм и гарантированно разомкнуты на расстоянии 100 мм. IP68</v>
      </c>
      <c r="C709" s="9">
        <f ca="1">IFERROR(__xludf.DUMMYFUNCTION("""COMPUTED_VALUE"""),6167)</f>
        <v>6167</v>
      </c>
      <c r="D709" s="6"/>
      <c r="E709" s="8"/>
    </row>
    <row r="710" spans="1:5" ht="63.75">
      <c r="A710" s="5" t="str">
        <f ca="1">IFERROR(__xludf.DUMMYFUNCTION("""COMPUTED_VALUE"""),"ИО 102-53 - 100 ПАШК.425119.124ПС")</f>
        <v>ИО 102-53 - 100 ПАШК.425119.124ПС</v>
      </c>
      <c r="B710" s="6" t="str">
        <f ca="1">IFERROR(__xludf.DUMMYFUNCTION("""COMPUTED_VALUE"""),"Контакты датчика гарантированно замыкаются при расстоянии между датчиком и магнитом 100 мм и гарантированно разомкнуты на расстоянии 160 мм. IP68")</f>
        <v>Контакты датчика гарантированно замыкаются при расстоянии между датчиком и магнитом 100 мм и гарантированно разомкнуты на расстоянии 160 мм. IP68</v>
      </c>
      <c r="C710" s="9">
        <f ca="1">IFERROR(__xludf.DUMMYFUNCTION("""COMPUTED_VALUE"""),7100)</f>
        <v>7100</v>
      </c>
      <c r="D710" s="6"/>
      <c r="E710" s="8"/>
    </row>
    <row r="711" spans="1:5" ht="63.75">
      <c r="A711" s="5" t="str">
        <f ca="1">IFERROR(__xludf.DUMMYFUNCTION("""COMPUTED_VALUE"""),"ИО 102-53 - 200 ПАШК.425119.124ПС")</f>
        <v>ИО 102-53 - 200 ПАШК.425119.124ПС</v>
      </c>
      <c r="B711" s="6" t="str">
        <f ca="1">IFERROR(__xludf.DUMMYFUNCTION("""COMPUTED_VALUE"""),"Контакты датчика гарантированно замыкаются при расстоянии между датчиком и магнитом 200 мм и гарантированно разомкнуты на расстоянии 260 мм. IP68")</f>
        <v>Контакты датчика гарантированно замыкаются при расстоянии между датчиком и магнитом 200 мм и гарантированно разомкнуты на расстоянии 260 мм. IP68</v>
      </c>
      <c r="C711" s="9">
        <f ca="1">IFERROR(__xludf.DUMMYFUNCTION("""COMPUTED_VALUE"""),7503)</f>
        <v>7503</v>
      </c>
      <c r="D711" s="6"/>
      <c r="E711" s="8"/>
    </row>
    <row r="712" spans="1:5" ht="51">
      <c r="A712" s="5" t="str">
        <f ca="1">IFERROR(__xludf.DUMMYFUNCTION("""COMPUTED_VALUE"""),"К-02 АЯКС (S)")</f>
        <v>К-02 АЯКС (S)</v>
      </c>
      <c r="B712" s="6" t="str">
        <f ca="1">IFERROR(__xludf.DUMMYFUNCTION("""COMPUTED_VALUE"""),"для монтажа магнитов ИО 102-53, ДПМГ-26Ех к подвижным поверхностям охраняемых конструкций. Сталь с защитным покрытием")</f>
        <v>для монтажа магнитов ИО 102-53, ДПМГ-26Ех к подвижным поверхностям охраняемых конструкций. Сталь с защитным покрытием</v>
      </c>
      <c r="C712" s="9">
        <f ca="1">IFERROR(__xludf.DUMMYFUNCTION("""COMPUTED_VALUE"""),711.843)</f>
        <v>711.84299999999996</v>
      </c>
      <c r="D712" s="6"/>
      <c r="E712" s="8"/>
    </row>
    <row r="713" spans="1:5" ht="51">
      <c r="A713" s="5" t="str">
        <f ca="1">IFERROR(__xludf.DUMMYFUNCTION("""COMPUTED_VALUE"""),"К-02 АЯКС (Нержавейка-Ех)")</f>
        <v>К-02 АЯКС (Нержавейка-Ех)</v>
      </c>
      <c r="B713" s="6" t="str">
        <f ca="1">IFERROR(__xludf.DUMMYFUNCTION("""COMPUTED_VALUE"""),"для монтажа магнитов ИО 102-53, ДПМГ-26Ех к подвижным поверхностям охраняемых конструкций. Из нержавеющей стали")</f>
        <v>для монтажа магнитов ИО 102-53, ДПМГ-26Ех к подвижным поверхностям охраняемых конструкций. Из нержавеющей стали</v>
      </c>
      <c r="C713" s="9">
        <f ca="1">IFERROR(__xludf.DUMMYFUNCTION("""COMPUTED_VALUE"""),1549.3082)</f>
        <v>1549.3081999999999</v>
      </c>
      <c r="D713" s="6"/>
      <c r="E713" s="8"/>
    </row>
    <row r="714" spans="1:5" ht="51">
      <c r="A714" s="5" t="str">
        <f ca="1">IFERROR(__xludf.DUMMYFUNCTION("""COMPUTED_VALUE"""),"К-03 АЯКС (S)")</f>
        <v>К-03 АЯКС (S)</v>
      </c>
      <c r="B714" s="6" t="str">
        <f ca="1">IFERROR(__xludf.DUMMYFUNCTION("""COMPUTED_VALUE"""),"для монтажа датчиков ИО 102-53, ДПМГ-26Ех к неподвижным поверхностям охраняемых конструкций.Сталь с защитным покрытием")</f>
        <v>для монтажа датчиков ИО 102-53, ДПМГ-26Ех к неподвижным поверхностям охраняемых конструкций.Сталь с защитным покрытием</v>
      </c>
      <c r="C714" s="9">
        <f ca="1">IFERROR(__xludf.DUMMYFUNCTION("""COMPUTED_VALUE"""),753.7211)</f>
        <v>753.72109999999998</v>
      </c>
      <c r="D714" s="6"/>
      <c r="E714" s="8"/>
    </row>
    <row r="715" spans="1:5" ht="51">
      <c r="A715" s="5" t="str">
        <f ca="1">IFERROR(__xludf.DUMMYFUNCTION("""COMPUTED_VALUE"""),"К-03 АЯКС (Нержавейка-Ех)")</f>
        <v>К-03 АЯКС (Нержавейка-Ех)</v>
      </c>
      <c r="B715" s="6" t="str">
        <f ca="1">IFERROR(__xludf.DUMMYFUNCTION("""COMPUTED_VALUE"""),"для монтажа датчиков ИО 102-53, ДПМГ-26Ех к неподвижным поверхностям охраняемых конструкций. Из нержавеющей стали")</f>
        <v>для монтажа датчиков ИО 102-53, ДПМГ-26Ех к неподвижным поверхностям охраняемых конструкций. Из нержавеющей стали</v>
      </c>
      <c r="C715" s="9">
        <f ca="1">IFERROR(__xludf.DUMMYFUNCTION("""COMPUTED_VALUE"""),1591.1863)</f>
        <v>1591.1863000000001</v>
      </c>
      <c r="D715" s="6"/>
      <c r="E715" s="8"/>
    </row>
    <row r="716" spans="1:5" ht="76.5">
      <c r="A716" s="5" t="str">
        <f ca="1">IFERROR(__xludf.DUMMYFUNCTION("""COMPUTED_VALUE"""),"К-40")</f>
        <v>К-40</v>
      </c>
      <c r="B716" s="6" t="str">
        <f ca="1">IFERROR(__xludf.DUMMYFUNCTION("""COMPUTED_VALUE"""),"для изменения положения при монтаже блока магнита или блока датчика извещателей ИО 102-40,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102-40, позволяет изменить положение одного из блоков на 90 град. Нержавеющая сталь толщиной 1,5 мм</v>
      </c>
      <c r="C716" s="9">
        <f ca="1">IFERROR(__xludf.DUMMYFUNCTION("""COMPUTED_VALUE"""),330.33)</f>
        <v>330.33</v>
      </c>
      <c r="D716" s="6"/>
      <c r="E716" s="8"/>
    </row>
    <row r="717" spans="1:5" ht="63.75">
      <c r="A717" s="5" t="str">
        <f ca="1">IFERROR(__xludf.DUMMYFUNCTION("""COMPUTED_VALUE"""),"КР-40 Нержавейка")</f>
        <v>КР-40 Нержавейка</v>
      </c>
      <c r="B717"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717" s="9">
        <f ca="1">IFERROR(__xludf.DUMMYFUNCTION("""COMPUTED_VALUE"""),480)</f>
        <v>480</v>
      </c>
      <c r="D717" s="6"/>
      <c r="E717" s="8"/>
    </row>
    <row r="718" spans="1:5" ht="51">
      <c r="A718" s="5" t="str">
        <f ca="1">IFERROR(__xludf.DUMMYFUNCTION("""COMPUTED_VALUE"""),"Проставка для ИО 102-40")</f>
        <v>Проставка для ИО 102-40</v>
      </c>
      <c r="B718" s="6" t="str">
        <f ca="1">IFERROR(__xludf.DUMMYFUNCTION("""COMPUTED_VALUE"""),"Позволяет восстановить соосность магнита и датчика, поднимает любой из блоков извещателя на 5 мм (набором — 10мм, 15 мм и т.д), пластик, вес 3.5 г.")</f>
        <v>Позволяет восстановить соосность магнита и датчика, поднимает любой из блоков извещателя на 5 мм (набором — 10мм, 15 мм и т.д), пластик, вес 3.5 г.</v>
      </c>
      <c r="C718" s="9">
        <f ca="1">IFERROR(__xludf.DUMMYFUNCTION("""COMPUTED_VALUE"""),22.68)</f>
        <v>22.68</v>
      </c>
      <c r="D718" s="6"/>
      <c r="E718" s="8"/>
    </row>
    <row r="719" spans="1:5" ht="89.25">
      <c r="A719" s="5" t="str">
        <f ca="1">IFERROR(__xludf.DUMMYFUNCTION("""COMPUTED_VALUE"""),"ИО 102-40 А2М (3) (спецсерия, срабатывание 10 мм) АТФЕ.425119.066 ТУ")</f>
        <v>ИО 102-40 А2М (3) (спецсерия, срабатывание 10 мм) АТФЕ.425119.066 ТУ</v>
      </c>
      <c r="B719" s="6" t="str">
        <f ca="1">IFERROR(__xludf.DUMMYFUNCTION("""COMPUTED_VALUE"""),"Извещатель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f>
        <v>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v>
      </c>
      <c r="C719" s="9">
        <f ca="1">IFERROR(__xludf.DUMMYFUNCTION("""COMPUTED_VALUE"""),912.45)</f>
        <v>912.45</v>
      </c>
      <c r="D719" s="6"/>
      <c r="E719" s="8"/>
    </row>
    <row r="720" spans="1:5" ht="89.25">
      <c r="A720" s="5" t="str">
        <f ca="1">IFERROR(__xludf.DUMMYFUNCTION("""COMPUTED_VALUE"""),"ИО 102-40 Б2М (3) (спецсерия, срабатывание 10 мм) АТФЕ.425119.066 ТУ")</f>
        <v>ИО 102-40 Б2М (3) (спецсерия, срабатывание 10 мм) АТФЕ.425119.066 ТУ</v>
      </c>
      <c r="B720" s="6" t="str">
        <f ca="1">IFERROR(__xludf.DUMMYFUNCTION("""COMPUTED_VALUE"""),"Извещатель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f>
        <v>Извещатель повышенной чувствительности — расстояние срабатывания не более 10 мм, отпускание не менее 20 мм. Металлический рукав из оцинкованной стали 1м. Вандалозащищенный. Корпус металлический, неразборный, IP 66/67.</v>
      </c>
      <c r="C720" s="9">
        <f ca="1">IFERROR(__xludf.DUMMYFUNCTION("""COMPUTED_VALUE"""),854.7)</f>
        <v>854.7</v>
      </c>
      <c r="D720" s="6"/>
      <c r="E720" s="8"/>
    </row>
    <row r="721" spans="1:5" ht="63.75">
      <c r="A721" s="5" t="str">
        <f ca="1">IFERROR(__xludf.DUMMYFUNCTION("""COMPUTED_VALUE"""),"ИО 102-40 А2П (2) (спецсерия, срабатывание 10 мм) АТФЕ.425119.066 ТУ")</f>
        <v>ИО 102-40 А2П (2) (спецсерия, срабатывание 10 мм) АТФЕ.425119.066 ТУ</v>
      </c>
      <c r="B721" s="6" t="str">
        <f ca="1">IFERROR(__xludf.DUMMYFUNCTION("""COMPUTED_VALUE"""),"Извещатель повышенной чувствительности — расстояние срабатывания не более 10 мм, отпускания не менее 20 мм.  Корпус  АБС пластик, неразборный, IP 66/67.")</f>
        <v>Извещатель повышенной чувствительности — расстояние срабатывания не более 10 мм, отпускания не менее 20 мм.  Корпус  АБС пластик, неразборный, IP 66/67.</v>
      </c>
      <c r="C721" s="9">
        <f ca="1">IFERROR(__xludf.DUMMYFUNCTION("""COMPUTED_VALUE"""),261.03)</f>
        <v>261.02999999999997</v>
      </c>
      <c r="D721" s="6"/>
      <c r="E721" s="8"/>
    </row>
    <row r="722" spans="1:5" ht="63.75">
      <c r="A722" s="5" t="str">
        <f ca="1">IFERROR(__xludf.DUMMYFUNCTION("""COMPUTED_VALUE"""),"ИО 102-40 Б2П (2) (спецсерия, срабатывание 10 мм) АТФЕ.425119.066 ТУ")</f>
        <v>ИО 102-40 Б2П (2) (спецсерия, срабатывание 10 мм) АТФЕ.425119.066 ТУ</v>
      </c>
      <c r="B722" s="6" t="str">
        <f ca="1">IFERROR(__xludf.DUMMYFUNCTION("""COMPUTED_VALUE"""),"Извещатель повышенной чувствительности — расстояние срабатывания не более 10 мм, отпускания не менее 20 мм.  Корпус  АБС пластик, неразборный, IP 66/67.")</f>
        <v>Извещатель повышенной чувствительности — расстояние срабатывания не более 10 мм, отпускания не менее 20 мм.  Корпус  АБС пластик, неразборный, IP 66/67.</v>
      </c>
      <c r="C722" s="9">
        <f ca="1">IFERROR(__xludf.DUMMYFUNCTION("""COMPUTED_VALUE"""),261.03)</f>
        <v>261.02999999999997</v>
      </c>
      <c r="D722" s="6"/>
      <c r="E722" s="8"/>
    </row>
    <row r="723" spans="1:5" ht="38.25">
      <c r="A723" s="5" t="str">
        <f ca="1">IFERROR(__xludf.DUMMYFUNCTION("""COMPUTED_VALUE"""),"ИО 102-40 А2П (1) АТФЕ.425119.066 ТУ")</f>
        <v>ИО 102-40 А2П (1) АТФЕ.425119.066 ТУ</v>
      </c>
      <c r="B723"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23" s="9">
        <f ca="1">IFERROR(__xludf.DUMMYFUNCTION("""COMPUTED_VALUE"""),168.63)</f>
        <v>168.63</v>
      </c>
      <c r="D723" s="6"/>
      <c r="E723" s="8"/>
    </row>
    <row r="724" spans="1:5" ht="38.25">
      <c r="A724" s="5" t="str">
        <f ca="1">IFERROR(__xludf.DUMMYFUNCTION("""COMPUTED_VALUE"""),"ИО 102-40 Б2П (1) АТФЕ.425119.066 ТУ")</f>
        <v>ИО 102-40 Б2П (1) АТФЕ.425119.066 ТУ</v>
      </c>
      <c r="B724"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24" s="9">
        <f ca="1">IFERROR(__xludf.DUMMYFUNCTION("""COMPUTED_VALUE"""),168.63)</f>
        <v>168.63</v>
      </c>
      <c r="D724" s="6"/>
      <c r="E724" s="8"/>
    </row>
    <row r="725" spans="1:5" ht="51">
      <c r="A725" s="5" t="str">
        <f ca="1">IFERROR(__xludf.DUMMYFUNCTION("""COMPUTED_VALUE"""),"ИО 102-40 А2П (2) АТФЕ.425119.066 ТУ")</f>
        <v>ИО 102-40 А2П (2) АТФЕ.425119.066 ТУ</v>
      </c>
      <c r="B725"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25" s="9">
        <f ca="1">IFERROR(__xludf.DUMMYFUNCTION("""COMPUTED_VALUE"""),173.25)</f>
        <v>173.25</v>
      </c>
      <c r="D725" s="6"/>
      <c r="E725" s="8"/>
    </row>
    <row r="726" spans="1:5" ht="51">
      <c r="A726" s="5" t="str">
        <f ca="1">IFERROR(__xludf.DUMMYFUNCTION("""COMPUTED_VALUE"""),"ИО 102-40 Б2П (2) АТФЕ.425119.066 ТУ")</f>
        <v>ИО 102-40 Б2П (2) АТФЕ.425119.066 ТУ</v>
      </c>
      <c r="B726"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26" s="9">
        <f ca="1">IFERROR(__xludf.DUMMYFUNCTION("""COMPUTED_VALUE"""),173.25)</f>
        <v>173.25</v>
      </c>
      <c r="D726" s="6"/>
      <c r="E726" s="8"/>
    </row>
    <row r="727" spans="1:5" ht="76.5">
      <c r="A727" s="5" t="str">
        <f ca="1">IFERROR(__xludf.DUMMYFUNCTION("""COMPUTED_VALUE"""),"ИО 102-40 А2П (2) FRHF")</f>
        <v>ИО 102-40 А2П (2) FRHF</v>
      </c>
      <c r="B727" s="6" t="str">
        <f ca="1">IFERROR(__xludf.DUMMYFUNCTION("""COMPUTED_VALUE"""),"Для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f>
        <v>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v>
      </c>
      <c r="C727" s="9">
        <f ca="1">IFERROR(__xludf.DUMMYFUNCTION("""COMPUTED_VALUE"""),330)</f>
        <v>330</v>
      </c>
      <c r="D727" s="6"/>
      <c r="E727" s="8"/>
    </row>
    <row r="728" spans="1:5" ht="76.5">
      <c r="A728" s="5" t="str">
        <f ca="1">IFERROR(__xludf.DUMMYFUNCTION("""COMPUTED_VALUE"""),"ИО 102-40 Б2П (2) FRHF")</f>
        <v>ИО 102-40 Б2П (2) FRHF</v>
      </c>
      <c r="B728" s="6" t="str">
        <f ca="1">IFERROR(__xludf.DUMMYFUNCTION("""COMPUTED_VALUE"""),"Для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f>
        <v>Для установки на металл, НР, вывод- огнестойкий безгалогенный FRHF провод 2х2х0,2 в двойной изоляции, 600мм. Расстояние срабатывания 30 мм
 Корпус АБС пластик, неразборный, IP 66/67.</v>
      </c>
      <c r="C728" s="9">
        <f ca="1">IFERROR(__xludf.DUMMYFUNCTION("""COMPUTED_VALUE"""),330)</f>
        <v>330</v>
      </c>
      <c r="D728" s="6"/>
      <c r="E728" s="8"/>
    </row>
    <row r="729" spans="1:5" ht="63.75">
      <c r="A729" s="5" t="str">
        <f ca="1">IFERROR(__xludf.DUMMYFUNCTION("""COMPUTED_VALUE"""),"ИО 102-40 А2П (2) Усиленный")</f>
        <v>ИО 102-40 А2П (2) Усиленный</v>
      </c>
      <c r="B729" s="6" t="str">
        <f ca="1">IFERROR(__xludf.DUMMYFUNCTION("""COMPUTED_VALUE"""),"Увеличенное расстояние срабатывания —  не более 50 мм, отпускание 70 мм (на магнитоактивной поверхности).
Корпус АБС пластик, неразборный, IP 66/67.")</f>
        <v>Увеличенное расстояние срабатывания —  не более 50 мм, отпускание 70 мм (на магнитоактивной поверхности).
Корпус АБС пластик, неразборный, IP 66/67.</v>
      </c>
      <c r="C729" s="9">
        <f ca="1">IFERROR(__xludf.DUMMYFUNCTION("""COMPUTED_VALUE"""),415.8)</f>
        <v>415.8</v>
      </c>
      <c r="D729" s="6"/>
      <c r="E729" s="8"/>
    </row>
    <row r="730" spans="1:5" ht="63.75">
      <c r="A730" s="5" t="str">
        <f ca="1">IFERROR(__xludf.DUMMYFUNCTION("""COMPUTED_VALUE"""),"ИО 102-40 Б2П (2) Усиленный")</f>
        <v>ИО 102-40 Б2П (2) Усиленный</v>
      </c>
      <c r="B730" s="6" t="str">
        <f ca="1">IFERROR(__xludf.DUMMYFUNCTION("""COMPUTED_VALUE"""),"Увеличенное расстояние срабатывания —  не более 50 мм, отпускание 70 мм (на магнитоактивной поверхности).
Корпус АБС пластик, неразборный, IP 66/67.")</f>
        <v>Увеличенное расстояние срабатывания —  не более 50 мм, отпускание 70 мм (на магнитоактивной поверхности).
Корпус АБС пластик, неразборный, IP 66/67.</v>
      </c>
      <c r="C730" s="9">
        <f ca="1">IFERROR(__xludf.DUMMYFUNCTION("""COMPUTED_VALUE"""),415.8)</f>
        <v>415.8</v>
      </c>
      <c r="D730" s="6"/>
      <c r="E730" s="8"/>
    </row>
    <row r="731" spans="1:5" ht="51">
      <c r="A731" s="5" t="str">
        <f ca="1">IFERROR(__xludf.DUMMYFUNCTION("""COMPUTED_VALUE"""),"ИО 102-40 Б2П (2) БЕЛЫЙ АТФЕ.425119.066 ТУ")</f>
        <v>ИО 102-40 Б2П (2) БЕЛЫЙ АТФЕ.425119.066 ТУ</v>
      </c>
      <c r="B731"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1" s="9">
        <f ca="1">IFERROR(__xludf.DUMMYFUNCTION("""COMPUTED_VALUE"""),182.49)</f>
        <v>182.49</v>
      </c>
      <c r="D731" s="6"/>
      <c r="E731" s="8"/>
    </row>
    <row r="732" spans="1:5" ht="51">
      <c r="A732" s="5" t="str">
        <f ca="1">IFERROR(__xludf.DUMMYFUNCTION("""COMPUTED_VALUE"""),"ИО 102-40 Б2П (2) КОРИЧНЕВЫЙ АТФЕ.425119.066 ТУ")</f>
        <v>ИО 102-40 Б2П (2) КОРИЧНЕВЫЙ АТФЕ.425119.066 ТУ</v>
      </c>
      <c r="B732"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2" s="9">
        <f ca="1">IFERROR(__xludf.DUMMYFUNCTION("""COMPUTED_VALUE"""),182.49)</f>
        <v>182.49</v>
      </c>
      <c r="D732" s="6"/>
      <c r="E732" s="8"/>
    </row>
    <row r="733" spans="1:5" ht="51">
      <c r="A733" s="5" t="str">
        <f ca="1">IFERROR(__xludf.DUMMYFUNCTION("""COMPUTED_VALUE"""),"ИО 102-40 Б2П (2) ТЕРРАКОТОВЫЙ АТФЕ.425119.066 ТУ")</f>
        <v>ИО 102-40 Б2П (2) ТЕРРАКОТОВЫЙ АТФЕ.425119.066 ТУ</v>
      </c>
      <c r="B733"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33" s="9">
        <f ca="1">IFERROR(__xludf.DUMMYFUNCTION("""COMPUTED_VALUE"""),182.49)</f>
        <v>182.49</v>
      </c>
      <c r="D733" s="6"/>
      <c r="E733" s="8"/>
    </row>
    <row r="734" spans="1:5" ht="51">
      <c r="A734" s="5" t="str">
        <f ca="1">IFERROR(__xludf.DUMMYFUNCTION("""COMPUTED_VALUE"""),"ИО 102-40 А2П (3) АТФЕ.425119.066 ТУ")</f>
        <v>ИО 102-40 А2П (3) АТФЕ.425119.066 ТУ</v>
      </c>
      <c r="B734"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34" s="9">
        <f ca="1">IFERROR(__xludf.DUMMYFUNCTION("""COMPUTED_VALUE"""),235.62)</f>
        <v>235.62</v>
      </c>
      <c r="D734" s="6"/>
      <c r="E734" s="8"/>
    </row>
    <row r="735" spans="1:5" ht="51">
      <c r="A735" s="5" t="str">
        <f ca="1">IFERROR(__xludf.DUMMYFUNCTION("""COMPUTED_VALUE"""),"ИО 102-40 Б2П (3) АТФЕ.425119.066 ТУ")</f>
        <v>ИО 102-40 Б2П (3) АТФЕ.425119.066 ТУ</v>
      </c>
      <c r="B735"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35" s="9">
        <f ca="1">IFERROR(__xludf.DUMMYFUNCTION("""COMPUTED_VALUE"""),235.62)</f>
        <v>235.62</v>
      </c>
      <c r="D735" s="6"/>
      <c r="E735" s="8"/>
    </row>
    <row r="736" spans="1:5" ht="25.5">
      <c r="A736" s="5" t="str">
        <f ca="1">IFERROR(__xludf.DUMMYFUNCTION("""COMPUTED_VALUE"""),"ИО 102-40 Б2П В АТФЕ.425119.066 ТУ")</f>
        <v>ИО 102-40 Б2П В АТФЕ.425119.066 ТУ</v>
      </c>
      <c r="B736"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36" s="9">
        <f ca="1">IFERROR(__xludf.DUMMYFUNCTION("""COMPUTED_VALUE"""),244.86)</f>
        <v>244.86</v>
      </c>
      <c r="D736" s="6"/>
      <c r="E736" s="8"/>
    </row>
    <row r="737" spans="1:5" ht="114.75">
      <c r="A737" s="5" t="str">
        <f ca="1">IFERROR(__xludf.DUMMYFUNCTION("""COMPUTED_VALUE"""),"ИО 102-40 А2П ИБ 0Ex ia IIB T6 Ga X АТФЕ.425119.066 ПС")</f>
        <v>ИО 102-40 А2П ИБ 0Ex ia IIB T6 Ga X АТФЕ.425119.066 ПС</v>
      </c>
      <c r="B737" s="6" t="str">
        <f ca="1">IFERROR(__xludf.DUMMYFUNCTION("""COMPUTED_VALUE"""),"Извещатель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нер"&amp;"жавеющей стали + .. руб.")</f>
        <v>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нержавеющей стали + .. руб.</v>
      </c>
      <c r="C737" s="9">
        <f ca="1">IFERROR(__xludf.DUMMYFUNCTION("""COMPUTED_VALUE"""),1010.625)</f>
        <v>1010.625</v>
      </c>
      <c r="D737" s="6"/>
      <c r="E737" s="8"/>
    </row>
    <row r="738" spans="1:5" ht="114.75">
      <c r="A738" s="5" t="str">
        <f ca="1">IFERROR(__xludf.DUMMYFUNCTION("""COMPUTED_VALUE"""),"ИО 102-40 Б2П ИБ 0Ex ia IIB T6 Ga X АТФЕ.425119.066 ПС")</f>
        <v>ИО 102-40 Б2П ИБ 0Ex ia IIB T6 Ga X АТФЕ.425119.066 ПС</v>
      </c>
      <c r="B738" s="6" t="str">
        <f ca="1">IFERROR(__xludf.DUMMYFUNCTION("""COMPUTED_VALUE"""),"Извещатель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нер"&amp;"жавеющей стали + .. руб.")</f>
        <v>Извещатель охранный точечный магнитоконтактный взрывозащищенный. Пластиковый корпус; блок геркона и блок магнита; 2 контакта, замыкающихся под воздействием магнитного поля задающего блока; кабель длиной 600 мм в металлорукаве из оцинкованной стали, из нержавеющей стали + .. руб.</v>
      </c>
      <c r="C738" s="9">
        <f ca="1">IFERROR(__xludf.DUMMYFUNCTION("""COMPUTED_VALUE"""),986.37)</f>
        <v>986.37</v>
      </c>
      <c r="D738" s="6"/>
      <c r="E738" s="8"/>
    </row>
    <row r="739" spans="1:5" ht="63.75">
      <c r="A739" s="5" t="str">
        <f ca="1">IFERROR(__xludf.DUMMYFUNCTION("""COMPUTED_VALUE"""),"ИО 102-40 А2М (3) АТФЕ.425119.066 ТУ")</f>
        <v>ИО 102-40 А2М (3) АТФЕ.425119.066 ТУ</v>
      </c>
      <c r="B739" s="6" t="str">
        <f ca="1">IFERROR(__xludf.DUMMYFUNCTION("""COMPUTED_VALUE"""),"Корпус металлический, неразборный, согласно ГОСТ Р 52435,рабочий зазор не менее 30 мм. Металлический рукав из оцинкованной стали. Вандалозащищенный.")</f>
        <v>Корпус металлический, неразборный, согласно ГОСТ Р 52435,рабочий зазор не менее 30 мм. Металлический рукав из оцинкованной стали. Вандалозащищенный.</v>
      </c>
      <c r="C739" s="9">
        <f ca="1">IFERROR(__xludf.DUMMYFUNCTION("""COMPUTED_VALUE"""),606.375)</f>
        <v>606.375</v>
      </c>
      <c r="D739" s="6"/>
      <c r="E739" s="8"/>
    </row>
    <row r="740" spans="1:5" ht="63.75">
      <c r="A740" s="5" t="str">
        <f ca="1">IFERROR(__xludf.DUMMYFUNCTION("""COMPUTED_VALUE"""),"ИО 102-40 Б2М (3) АТФЕ.425119.066 ТУ")</f>
        <v>ИО 102-40 Б2М (3) АТФЕ.425119.066 ТУ</v>
      </c>
      <c r="B740" s="6" t="str">
        <f ca="1">IFERROR(__xludf.DUMMYFUNCTION("""COMPUTED_VALUE"""),"Корпус металлический, неразборный, согласно ГОСТ Р 52435,рабочий зазор не менее 30 мм. Металлический рукав из оцинкованной стали. Вандалозащищенный.")</f>
        <v>Корпус металлический, неразборный, согласно ГОСТ Р 52435,рабочий зазор не менее 30 мм. Металлический рукав из оцинкованной стали. Вандалозащищенный.</v>
      </c>
      <c r="C740" s="9">
        <f ca="1">IFERROR(__xludf.DUMMYFUNCTION("""COMPUTED_VALUE"""),565.95)</f>
        <v>565.95000000000005</v>
      </c>
      <c r="D740" s="6"/>
      <c r="E740" s="8"/>
    </row>
    <row r="741" spans="1:5" ht="89.25">
      <c r="A741" s="5" t="str">
        <f ca="1">IFERROR(__xludf.DUMMYFUNCTION("""COMPUTED_VALUE"""),"ИО 102-40 А2М (3) АВТО")</f>
        <v>ИО 102-40 А2М (3) АВТО</v>
      </c>
      <c r="B741" s="6" t="str">
        <f ca="1">IFERROR(__xludf.DUMMYFUNCTION("""COMPUTED_VALUE"""),"Для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f>
        <v>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v>
      </c>
      <c r="C741" s="9">
        <f ca="1">IFERROR(__xludf.DUMMYFUNCTION("""COMPUTED_VALUE"""),850)</f>
        <v>850</v>
      </c>
      <c r="D741" s="6"/>
      <c r="E741" s="8"/>
    </row>
    <row r="742" spans="1:5" ht="89.25">
      <c r="A742" s="5" t="str">
        <f ca="1">IFERROR(__xludf.DUMMYFUNCTION("""COMPUTED_VALUE"""),"ИО 102-40 Б2М (3) АВТО")</f>
        <v>ИО 102-40 Б2М (3) АВТО</v>
      </c>
      <c r="B742" s="6" t="str">
        <f ca="1">IFERROR(__xludf.DUMMYFUNCTION("""COMPUTED_VALUE"""),"Для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f>
        <v>Для установки на металл, НР, вывод - ударопрочный, масло-бензостойкий кабель 2х0,7 в двойной изоляции, 600мм. Расстояние срабатывания 30 мм .Металлический рукав из оцинкованной стали. Вандалозащищенный. Корпус металлический, неразборный, IP 66/67</v>
      </c>
      <c r="C742" s="9">
        <f ca="1">IFERROR(__xludf.DUMMYFUNCTION("""COMPUTED_VALUE"""),800)</f>
        <v>800</v>
      </c>
      <c r="D742" s="6"/>
      <c r="E742" s="8"/>
    </row>
    <row r="743" spans="1:5" ht="76.5">
      <c r="A743" s="5" t="str">
        <f ca="1">IFERROR(__xludf.DUMMYFUNCTION("""COMPUTED_VALUE"""),"ИО 102-40 А2М (3) Усиленный")</f>
        <v>ИО 102-40 А2М (3) Усиленный</v>
      </c>
      <c r="B743" s="6" t="str">
        <f ca="1">IFERROR(__xludf.DUMMYFUNCTION("""COMPUTED_VALUE"""),"Увеличенное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f>
        <v>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v>
      </c>
      <c r="C743" s="9">
        <f ca="1">IFERROR(__xludf.DUMMYFUNCTION("""COMPUTED_VALUE"""),1108.8)</f>
        <v>1108.8</v>
      </c>
      <c r="D743" s="6"/>
      <c r="E743" s="8"/>
    </row>
    <row r="744" spans="1:5" ht="76.5">
      <c r="A744" s="5" t="str">
        <f ca="1">IFERROR(__xludf.DUMMYFUNCTION("""COMPUTED_VALUE"""),"ИО 102-40 Б2М (3) Усиленный")</f>
        <v>ИО 102-40 Б2М (3) Усиленный</v>
      </c>
      <c r="B744" s="6" t="str">
        <f ca="1">IFERROR(__xludf.DUMMYFUNCTION("""COMPUTED_VALUE"""),"Увеличенное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f>
        <v>Увеличенное расстояние срабатывания —  не более 50 мм, отпускание 70 мм (на магнитоактивной поверхности) . Металлический рукав из оцинкованной стали 1м. Вандалозащищенный. Корпус металлический, неразборный, IP 66/67.</v>
      </c>
      <c r="C744" s="9">
        <f ca="1">IFERROR(__xludf.DUMMYFUNCTION("""COMPUTED_VALUE"""),1108.8)</f>
        <v>1108.8</v>
      </c>
      <c r="D744" s="6"/>
      <c r="E744" s="8"/>
    </row>
    <row r="745" spans="1:5" ht="89.25">
      <c r="A745" s="5" t="str">
        <f ca="1">IFERROR(__xludf.DUMMYFUNCTION("""COMPUTED_VALUE"""),"ИО 102-40 Б2М В Усиленный")</f>
        <v>ИО 102-40 Б2М В Усиленный</v>
      </c>
      <c r="B745" s="6" t="str">
        <f ca="1">IFERROR(__xludf.DUMMYFUNCTION("""COMPUTED_VALUE"""),"Извещатель, предусматривающий подключение оконечного резистора нагрузки шлейфа. Датчик выполнен с винтовыми зажимами с тремя контактами. Вандалозащищенный. Корпус металлический, неразборный, IP 55")</f>
        <v>Извещатель, предусматривающий подключение оконечного резистора нагрузки шлейфа. Датчик выполнен с винтовыми зажимами с тремя контактами. Вандалозащищенный. Корпус металлический, неразборный, IP 55</v>
      </c>
      <c r="C745" s="9">
        <f ca="1">IFERROR(__xludf.DUMMYFUNCTION("""COMPUTED_VALUE"""),1108.8)</f>
        <v>1108.8</v>
      </c>
      <c r="D745" s="6"/>
      <c r="E745" s="8"/>
    </row>
    <row r="746" spans="1:5" ht="63.75">
      <c r="A746" s="5" t="str">
        <f ca="1">IFERROR(__xludf.DUMMYFUNCTION("""COMPUTED_VALUE"""),"ИО 102-40 А2М (4) АТФЕ.425119.066 ТУ")</f>
        <v>ИО 102-40 А2М (4) АТФЕ.425119.066 ТУ</v>
      </c>
      <c r="B746" s="6" t="str">
        <f ca="1">IFERROR(__xludf.DUMMYFUNCTION("""COMPUTED_VALUE"""),"Корпус металлический, неразборный, согласно ГОСТ Р 52435,рабочий зазор не менее 30 мм. Металлический рукав из нержавеющей стали. Вандалозащищенный.")</f>
        <v>Корпус металлический, неразборный, согласно ГОСТ Р 52435,рабочий зазор не менее 30 мм. Металлический рукав из нержавеющей стали. Вандалозащищенный.</v>
      </c>
      <c r="C746" s="9">
        <f ca="1">IFERROR(__xludf.DUMMYFUNCTION("""COMPUTED_VALUE"""),646.8)</f>
        <v>646.79999999999995</v>
      </c>
      <c r="D746" s="6"/>
      <c r="E746" s="8"/>
    </row>
    <row r="747" spans="1:5" ht="63.75">
      <c r="A747" s="5" t="str">
        <f ca="1">IFERROR(__xludf.DUMMYFUNCTION("""COMPUTED_VALUE"""),"ИО 102-40 Б2М (4) АТФЕ.425119.066 ТУ")</f>
        <v>ИО 102-40 Б2М (4) АТФЕ.425119.066 ТУ</v>
      </c>
      <c r="B747" s="6" t="str">
        <f ca="1">IFERROR(__xludf.DUMMYFUNCTION("""COMPUTED_VALUE"""),"Корпус металлический, неразборный, согласно ГОСТ Р 52435,рабочий зазор не менее 30 мм. Металлический рукав из нержавеющей стали. Вандалозащищенный.")</f>
        <v>Корпус металлический, неразборный, согласно ГОСТ Р 52435,рабочий зазор не менее 30 мм. Металлический рукав из нержавеющей стали. Вандалозащищенный.</v>
      </c>
      <c r="C747" s="9">
        <f ca="1">IFERROR(__xludf.DUMMYFUNCTION("""COMPUTED_VALUE"""),600.6)</f>
        <v>600.6</v>
      </c>
      <c r="D747" s="6"/>
      <c r="E747" s="8"/>
    </row>
    <row r="748" spans="1:5" ht="63.75">
      <c r="A748" s="5" t="str">
        <f ca="1">IFERROR(__xludf.DUMMYFUNCTION("""COMPUTED_VALUE"""),"ИО 102-40 Б2М (В)")</f>
        <v>ИО 102-40 Б2М (В)</v>
      </c>
      <c r="B748" s="6" t="str">
        <f ca="1">IFERROR(__xludf.DUMMYFUNCTION("""COMPUTED_VALUE"""),"Извещатель, предусматривающий подключение оконечного резистора нагрузки шлейфа. Датчик выполнен с винтовыми зажимами с тремя контактами.")</f>
        <v>Извещатель, предусматривающий подключение оконечного резистора нагрузки шлейфа. Датчик выполнен с винтовыми зажимами с тремя контактами.</v>
      </c>
      <c r="C748" s="9">
        <f ca="1">IFERROR(__xludf.DUMMYFUNCTION("""COMPUTED_VALUE"""),600.6)</f>
        <v>600.6</v>
      </c>
      <c r="D748" s="6"/>
      <c r="E748" s="8"/>
    </row>
    <row r="749" spans="1:5" ht="63.75">
      <c r="A749" s="5" t="str">
        <f ca="1">IFERROR(__xludf.DUMMYFUNCTION("""COMPUTED_VALUE"""),"ИО 102-40 А3П (1) АТФЕ.425119.066 ТУ")</f>
        <v>ИО 102-40 А3П (1) АТФЕ.425119.066 ТУ</v>
      </c>
      <c r="B749"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49" s="9">
        <f ca="1">IFERROR(__xludf.DUMMYFUNCTION("""COMPUTED_VALUE"""),392.7)</f>
        <v>392.7</v>
      </c>
      <c r="D749" s="6"/>
      <c r="E749" s="8"/>
    </row>
    <row r="750" spans="1:5" ht="63.75">
      <c r="A750" s="5" t="str">
        <f ca="1">IFERROR(__xludf.DUMMYFUNCTION("""COMPUTED_VALUE"""),"ИО 102-40 Б3П (1) АТФЕ.425119.066 ТУ")</f>
        <v>ИО 102-40 Б3П (1) АТФЕ.425119.066 ТУ</v>
      </c>
      <c r="B750"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50" s="9">
        <f ca="1">IFERROR(__xludf.DUMMYFUNCTION("""COMPUTED_VALUE"""),378.84)</f>
        <v>378.84</v>
      </c>
      <c r="D750" s="6"/>
      <c r="E750" s="8"/>
    </row>
    <row r="751" spans="1:5" ht="63.75">
      <c r="A751" s="5" t="str">
        <f ca="1">IFERROR(__xludf.DUMMYFUNCTION("""COMPUTED_VALUE"""),"ИО 102-40 А3П (2) АТФЕ.425119.066 ТУ")</f>
        <v>ИО 102-40 А3П (2) АТФЕ.425119.066 ТУ</v>
      </c>
      <c r="B751"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51" s="9">
        <f ca="1">IFERROR(__xludf.DUMMYFUNCTION("""COMPUTED_VALUE"""),399.63)</f>
        <v>399.63</v>
      </c>
      <c r="D751" s="6"/>
      <c r="E751" s="8"/>
    </row>
    <row r="752" spans="1:5" ht="63.75">
      <c r="A752" s="5" t="str">
        <f ca="1">IFERROR(__xludf.DUMMYFUNCTION("""COMPUTED_VALUE"""),"ИО 102-40 Б3П (2) АТФЕ.425119.066 ТУ")</f>
        <v>ИО 102-40 Б3П (2) АТФЕ.425119.066 ТУ</v>
      </c>
      <c r="B752"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52" s="9">
        <f ca="1">IFERROR(__xludf.DUMMYFUNCTION("""COMPUTED_VALUE"""),388.08)</f>
        <v>388.08</v>
      </c>
      <c r="D752" s="6"/>
      <c r="E752" s="8"/>
    </row>
    <row r="753" spans="1:5" ht="63.75">
      <c r="A753" s="5" t="str">
        <f ca="1">IFERROR(__xludf.DUMMYFUNCTION("""COMPUTED_VALUE"""),"ИО 102-40 А3П (3) АТФЕ.425119.066 ТУ")</f>
        <v>ИО 102-40 А3П (3) АТФЕ.425119.066 ТУ</v>
      </c>
      <c r="B753"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53" s="9">
        <f ca="1">IFERROR(__xludf.DUMMYFUNCTION("""COMPUTED_VALUE"""),496.65)</f>
        <v>496.65</v>
      </c>
      <c r="D753" s="6"/>
      <c r="E753" s="8"/>
    </row>
    <row r="754" spans="1:5" ht="63.75">
      <c r="A754" s="5" t="str">
        <f ca="1">IFERROR(__xludf.DUMMYFUNCTION("""COMPUTED_VALUE"""),"ИО 102-40 Б3П (3) АТФЕ.425119.066 ТУ")</f>
        <v>ИО 102-40 Б3П (3) АТФЕ.425119.066 ТУ</v>
      </c>
      <c r="B754"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54" s="9">
        <f ca="1">IFERROR(__xludf.DUMMYFUNCTION("""COMPUTED_VALUE"""),496.65)</f>
        <v>496.65</v>
      </c>
      <c r="D754" s="6"/>
      <c r="E754" s="8"/>
    </row>
    <row r="755" spans="1:5" ht="114.75">
      <c r="A755" s="5" t="str">
        <f ca="1">IFERROR(__xludf.DUMMYFUNCTION("""COMPUTED_VALUE"""),"ИО 102-40 А3П ИБ 0Ex ia IIB T6 Ga X АТФЕ.425119.066 ПС")</f>
        <v>ИО 102-40 А3П ИБ 0Ex ia IIB T6 Ga X АТФЕ.425119.066 ПС</v>
      </c>
      <c r="B755" s="6" t="str">
        <f ca="1">IFERROR(__xludf.DUMMYFUNCTION("""COMPUTED_VALUE"""),"Извещатель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"&amp;"нержавеющей стали + .. руб.")</f>
        <v>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нержавеющей стали + .. руб.</v>
      </c>
      <c r="C755" s="9">
        <f ca="1">IFERROR(__xludf.DUMMYFUNCTION("""COMPUTED_VALUE"""),1273.965)</f>
        <v>1273.9649999999999</v>
      </c>
      <c r="D755" s="6"/>
      <c r="E755" s="8"/>
    </row>
    <row r="756" spans="1:5" ht="114.75">
      <c r="A756" s="5" t="str">
        <f ca="1">IFERROR(__xludf.DUMMYFUNCTION("""COMPUTED_VALUE"""),"ИО 102-40 Б3П ИБ 0Ex ia IIB T6 Ga X АТФЕ.425119.066 ПС")</f>
        <v>ИО 102-40 Б3П ИБ 0Ex ia IIB T6 Ga X АТФЕ.425119.066 ПС</v>
      </c>
      <c r="B756" s="6" t="str">
        <f ca="1">IFERROR(__xludf.DUMMYFUNCTION("""COMPUTED_VALUE"""),"Извещатель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"&amp;"нержавеющей стали + .. руб.")</f>
        <v>Извещатель охранный точечный магнитоконтактный взрывозащищенный. Пластиковый корпус; блок геркона и блок магнита; 3 контакта, переключающихся под воздействием магнитного поля задающего блока; кабель длиной 600 мм в металлорукаве из оцинкованной стали, из нержавеющей стали + .. руб.</v>
      </c>
      <c r="C756" s="9">
        <f ca="1">IFERROR(__xludf.DUMMYFUNCTION("""COMPUTED_VALUE"""),1254.33)</f>
        <v>1254.33</v>
      </c>
      <c r="D756" s="6"/>
      <c r="E756" s="8"/>
    </row>
    <row r="757" spans="1:5" ht="63.75">
      <c r="A757" s="5" t="str">
        <f ca="1">IFERROR(__xludf.DUMMYFUNCTION("""COMPUTED_VALUE"""),"ИО 102-40 А3М (3) АТФЕ.425119.066 ТУ")</f>
        <v>ИО 102-40 А3М (3) АТФЕ.425119.066 ТУ</v>
      </c>
      <c r="B757"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57" s="9">
        <f ca="1">IFERROR(__xludf.DUMMYFUNCTION("""COMPUTED_VALUE"""),1017.4164)</f>
        <v>1017.4164</v>
      </c>
      <c r="D757" s="6"/>
      <c r="E757" s="8"/>
    </row>
    <row r="758" spans="1:5" ht="63.75">
      <c r="A758" s="5" t="str">
        <f ca="1">IFERROR(__xludf.DUMMYFUNCTION("""COMPUTED_VALUE"""),"ИО 102-40 Б3М (3) АТФЕ.425119.066 ТУ")</f>
        <v>ИО 102-40 Б3М (3) АТФЕ.425119.066 ТУ</v>
      </c>
      <c r="B758"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58" s="9">
        <f ca="1">IFERROR(__xludf.DUMMYFUNCTION("""COMPUTED_VALUE"""),962.91195)</f>
        <v>962.91195000000005</v>
      </c>
      <c r="D758" s="6"/>
      <c r="E758" s="8"/>
    </row>
    <row r="759" spans="1:5" ht="25.5">
      <c r="A759" s="5" t="str">
        <f ca="1">IFERROR(__xludf.DUMMYFUNCTION("""COMPUTED_VALUE"""),"ИО 102-40 А3М (4) АТФЕ.425119.066 ТУ")</f>
        <v>ИО 102-40 А3М (4) АТФЕ.425119.066 ТУ</v>
      </c>
      <c r="B759" s="6" t="str">
        <f ca="1">IFERROR(__xludf.DUMMYFUNCTION("""COMPUTED_VALUE"""),"Переключающие, металлорукав из нержавеющей стали")</f>
        <v>Переключающие, металлорукав из нержавеющей стали</v>
      </c>
      <c r="C759" s="9">
        <f ca="1">IFERROR(__xludf.DUMMYFUNCTION("""COMPUTED_VALUE"""),1051.05)</f>
        <v>1051.05</v>
      </c>
      <c r="D759" s="6"/>
      <c r="E759" s="8"/>
    </row>
    <row r="760" spans="1:5" ht="25.5">
      <c r="A760" s="5" t="str">
        <f ca="1">IFERROR(__xludf.DUMMYFUNCTION("""COMPUTED_VALUE"""),"ИО 102-40 Б3М (4) АТФЕ.425119.066 ТУ")</f>
        <v>ИО 102-40 Б3М (4) АТФЕ.425119.066 ТУ</v>
      </c>
      <c r="B760" s="6" t="str">
        <f ca="1">IFERROR(__xludf.DUMMYFUNCTION("""COMPUTED_VALUE"""),"Переключающие, металлорукав из нержавеющей стали")</f>
        <v>Переключающие, металлорукав из нержавеющей стали</v>
      </c>
      <c r="C760" s="9">
        <f ca="1">IFERROR(__xludf.DUMMYFUNCTION("""COMPUTED_VALUE"""),999.075)</f>
        <v>999.07500000000005</v>
      </c>
      <c r="D760" s="6"/>
      <c r="E760" s="8"/>
    </row>
    <row r="761" spans="1:5" ht="38.25">
      <c r="A761" s="5" t="str">
        <f ca="1">IFERROR(__xludf.DUMMYFUNCTION("""COMPUTED_VALUE"""),"ИО 102-40 Б2П ""Антисаботаж"" АТФЕ.425119.066 ТУ")</f>
        <v>ИО 102-40 Б2П "Антисаботаж" АТФЕ.425119.066 ТУ</v>
      </c>
      <c r="B761"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61" s="9">
        <f ca="1">IFERROR(__xludf.DUMMYFUNCTION("""COMPUTED_VALUE"""),400.42695)</f>
        <v>400.42694999999998</v>
      </c>
      <c r="D761" s="6"/>
      <c r="E761" s="8"/>
    </row>
    <row r="762" spans="1:5" ht="51">
      <c r="A762" s="5" t="str">
        <f ca="1">IFERROR(__xludf.DUMMYFUNCTION("""COMPUTED_VALUE"""),"ИО 102-40 Б2М ""Антисаботаж"" АТФЕ.425119.066 ТУ")</f>
        <v>ИО 102-40 Б2М "Антисаботаж" АТФЕ.425119.066 ТУ</v>
      </c>
      <c r="B762" s="6" t="str">
        <f ca="1">IFERROR(__xludf.DUMMYFUNCTION("""COMPUTED_VALUE"""),"Корпус металлический, неразборный, согласно ГОСТ Р 52435,рабочий зазор не менее 30 мм. Без защитного рукава. Вандалозащищенный.")</f>
        <v>Корпус металлический, неразборный, согласно ГОСТ Р 52435,рабочий зазор не менее 30 мм. Без защитного рукава. Вандалозащищенный.</v>
      </c>
      <c r="C762" s="9">
        <f ca="1">IFERROR(__xludf.DUMMYFUNCTION("""COMPUTED_VALUE"""),993.6234)</f>
        <v>993.62339999999995</v>
      </c>
      <c r="D762" s="6"/>
      <c r="E762" s="8"/>
    </row>
    <row r="763" spans="1:5" ht="51">
      <c r="A763" s="5" t="str">
        <f ca="1">IFERROR(__xludf.DUMMYFUNCTION("""COMPUTED_VALUE"""),"ИО 102-40 А2М (3) (высокотемпературный, t+160°С) АТФЕ.425119.066 ТУ")</f>
        <v>ИО 102-40 А2М (3) (высокотемпературный, t+160°С) АТФЕ.425119.066 ТУ</v>
      </c>
      <c r="B763" s="6" t="str">
        <f ca="1">IFERROR(__xludf.DUMMYFUNCTION("""COMPUTED_VALUE"""),"НР, Корпус металлический, неразборный, согласно ГОСТ Р 52435, рабочий зазор не менее 30 мм. Металлический рукав из оцинкованной стали.")</f>
        <v>НР, Корпус металлический, неразборный, согласно ГОСТ Р 52435, рабочий зазор не менее 30 мм. Металлический рукав из оцинкованной стали.</v>
      </c>
      <c r="C763" s="9">
        <f ca="1">IFERROR(__xludf.DUMMYFUNCTION("""COMPUTED_VALUE"""),4850.89605)</f>
        <v>4850.8960500000003</v>
      </c>
      <c r="D763" s="6"/>
      <c r="E763" s="8"/>
    </row>
    <row r="764" spans="1:5" ht="51">
      <c r="A764" s="5" t="str">
        <f ca="1">IFERROR(__xludf.DUMMYFUNCTION("""COMPUTED_VALUE"""),"ИО 102-40 Б2М (3) (высокотемпературный, t+160°С) АТФЕ.425119.066 ТУ")</f>
        <v>ИО 102-40 Б2М (3) (высокотемпературный, t+160°С) АТФЕ.425119.066 ТУ</v>
      </c>
      <c r="B764" s="6" t="str">
        <f ca="1">IFERROR(__xludf.DUMMYFUNCTION("""COMPUTED_VALUE"""),"НР, Корпус металлический, неразборный, согласно ГОСТ Р 52435, рабочий зазор не менее 30 мм. Металлический рукав из оцинкованной стали.")</f>
        <v>НР, Корпус металлический, неразборный, согласно ГОСТ Р 52435, рабочий зазор не менее 30 мм. Металлический рукав из оцинкованной стали.</v>
      </c>
      <c r="C764" s="9">
        <f ca="1">IFERROR(__xludf.DUMMYFUNCTION("""COMPUTED_VALUE"""),4850.89605)</f>
        <v>4850.8960500000003</v>
      </c>
      <c r="D764" s="6"/>
      <c r="E764" s="8"/>
    </row>
    <row r="765" spans="1:5" ht="51">
      <c r="A765" s="5" t="str">
        <f ca="1">IFERROR(__xludf.DUMMYFUNCTION("""COMPUTED_VALUE"""),"ИО 102-40 А2М (4) (высокотемпературный, t+160°С) АТФЕ.425119.066 ТУ")</f>
        <v>ИО 102-40 А2М (4) (высокотемпературный, t+160°С) АТФЕ.425119.066 ТУ</v>
      </c>
      <c r="B765" s="6" t="str">
        <f ca="1">IFERROR(__xludf.DUMMYFUNCTION("""COMPUTED_VALUE"""),"НР, Корпус металлический, неразборный, согласно ГОСТ Р 52435, рабочий зазор не менее 30 мм. Металлический рукав из нержавеющей стали.")</f>
        <v>НР, Корпус металлический, неразборный, согласно ГОСТ Р 52435, рабочий зазор не менее 30 мм. Металлический рукав из нержавеющей стали.</v>
      </c>
      <c r="C765" s="9">
        <f ca="1">IFERROR(__xludf.DUMMYFUNCTION("""COMPUTED_VALUE"""),5032.57755)</f>
        <v>5032.57755</v>
      </c>
      <c r="D765" s="6"/>
      <c r="E765" s="8"/>
    </row>
    <row r="766" spans="1:5" ht="51">
      <c r="A766" s="5" t="str">
        <f ca="1">IFERROR(__xludf.DUMMYFUNCTION("""COMPUTED_VALUE"""),"ИО 102-40 Б2М (4) (высокотемпературный, t+160°С) АТФЕ.425119.066 ТУ")</f>
        <v>ИО 102-40 Б2М (4) (высокотемпературный, t+160°С) АТФЕ.425119.066 ТУ</v>
      </c>
      <c r="B766" s="6" t="str">
        <f ca="1">IFERROR(__xludf.DUMMYFUNCTION("""COMPUTED_VALUE"""),"НР, Корпус металлический, неразборный, согласно ГОСТ Р 52435, рабочий зазор не менее 30 мм. Металлический рукав из нержавеющей стали.")</f>
        <v>НР, Корпус металлический, неразборный, согласно ГОСТ Р 52435, рабочий зазор не менее 30 мм. Металлический рукав из нержавеющей стали.</v>
      </c>
      <c r="C766" s="9">
        <f ca="1">IFERROR(__xludf.DUMMYFUNCTION("""COMPUTED_VALUE"""),5032.57755)</f>
        <v>5032.57755</v>
      </c>
      <c r="D766" s="6"/>
      <c r="E766" s="8"/>
    </row>
    <row r="767" spans="1:5" ht="63.75">
      <c r="A767" s="5" t="str">
        <f ca="1">IFERROR(__xludf.DUMMYFUNCTION("""COMPUTED_VALUE"""),"ИО 102-40 А3М (3) (высокотемпературный, t+160°С) АТФЕ.425119.066 ТУ")</f>
        <v>ИО 102-40 А3М (3) (высокотемпературный, t+160°С) АТФЕ.425119.066 ТУ</v>
      </c>
      <c r="B767" s="6" t="str">
        <f ca="1">IFERROR(__xludf.DUMMYFUNCTION("""COMPUTED_VALUE"""),"Переключающий. Корпус металлический, неразборный, согласно ГОСТ Р 52435, рабочий зазор не менее 14 мм. Металлический рукав из оцинкованной стали.")</f>
        <v>Переключающий. Корпус металлический, неразборный, согласно ГОСТ Р 52435, рабочий зазор не менее 14 мм. Металлический рукав из оцинкованной стали.</v>
      </c>
      <c r="C767" s="9">
        <f ca="1">IFERROR(__xludf.DUMMYFUNCTION("""COMPUTED_VALUE"""),5214.25905)</f>
        <v>5214.2590499999997</v>
      </c>
      <c r="D767" s="6"/>
      <c r="E767" s="8"/>
    </row>
    <row r="768" spans="1:5" ht="63.75">
      <c r="A768" s="5" t="str">
        <f ca="1">IFERROR(__xludf.DUMMYFUNCTION("""COMPUTED_VALUE"""),"ИО 102-40 Б3М (3) (высокотемпературный, t+160°С) АТФЕ.425119.066 ТУ")</f>
        <v>ИО 102-40 Б3М (3) (высокотемпературный, t+160°С) АТФЕ.425119.066 ТУ</v>
      </c>
      <c r="B768" s="6" t="str">
        <f ca="1">IFERROR(__xludf.DUMMYFUNCTION("""COMPUTED_VALUE"""),"Переключающий. Корпус металлический, неразборный, согласно ГОСТ Р 52435, рабочий зазор не менее 14 мм. Металлический рукав из оцинкованной стали.")</f>
        <v>Переключающий. Корпус металлический, неразборный, согласно ГОСТ Р 52435, рабочий зазор не менее 14 мм. Металлический рукав из оцинкованной стали.</v>
      </c>
      <c r="C768" s="9">
        <f ca="1">IFERROR(__xludf.DUMMYFUNCTION("""COMPUTED_VALUE"""),5214.25905)</f>
        <v>5214.2590499999997</v>
      </c>
      <c r="D768" s="6"/>
      <c r="E768" s="8"/>
    </row>
    <row r="769" spans="1:5" ht="63.75">
      <c r="A769" s="5" t="str">
        <f ca="1">IFERROR(__xludf.DUMMYFUNCTION("""COMPUTED_VALUE"""),"ИО 102-40 А3М (4) (высокотемпературный, t+160°С) АТФЕ.425119.066 ТУ")</f>
        <v>ИО 102-40 А3М (4) (высокотемпературный, t+160°С) АТФЕ.425119.066 ТУ</v>
      </c>
      <c r="B769" s="6" t="str">
        <f ca="1">IFERROR(__xludf.DUMMYFUNCTION("""COMPUTED_VALUE"""),"Переключающий. Корпус металлический, неразборный, согласно ГОСТ Р 52435, рабочий зазор не менее 14 мм. Металлический рукав из нержавеющей стали.")</f>
        <v>Переключающий. Корпус металлический, неразборный, согласно ГОСТ Р 52435, рабочий зазор не менее 14 мм. Металлический рукав из нержавеющей стали.</v>
      </c>
      <c r="C769" s="9">
        <f ca="1">IFERROR(__xludf.DUMMYFUNCTION("""COMPUTED_VALUE"""),5395.94055)</f>
        <v>5395.9405500000003</v>
      </c>
      <c r="D769" s="6"/>
      <c r="E769" s="8"/>
    </row>
    <row r="770" spans="1:5" ht="63.75">
      <c r="A770" s="5" t="str">
        <f ca="1">IFERROR(__xludf.DUMMYFUNCTION("""COMPUTED_VALUE"""),"ИО 102-40 Б3М (4) (высокотемпературный, t+160°С) АТФЕ.425119.066 ТУ")</f>
        <v>ИО 102-40 Б3М (4) (высокотемпературный, t+160°С) АТФЕ.425119.066 ТУ</v>
      </c>
      <c r="B770" s="6" t="str">
        <f ca="1">IFERROR(__xludf.DUMMYFUNCTION("""COMPUTED_VALUE"""),"Переключающий. Корпус металлический, неразборный, согласно ГОСТ Р 52435, рабочий зазор не менее 14 мм. Металлический рукав из нержавеющей стали.")</f>
        <v>Переключающий. Корпус металлический, неразборный, согласно ГОСТ Р 52435, рабочий зазор не менее 14 мм. Металлический рукав из нержавеющей стали.</v>
      </c>
      <c r="C770" s="9">
        <f ca="1">IFERROR(__xludf.DUMMYFUNCTION("""COMPUTED_VALUE"""),5395.94055)</f>
        <v>5395.9405500000003</v>
      </c>
      <c r="D770" s="6"/>
      <c r="E770" s="8"/>
    </row>
    <row r="771" spans="1:5" ht="89.25">
      <c r="A771" s="5" t="str">
        <f ca="1">IFERROR(__xludf.DUMMYFUNCTION("""COMPUTED_VALUE"""),"К-20/50 ")</f>
        <v xml:space="preserve">К-20/50 </v>
      </c>
      <c r="B771" s="6" t="str">
        <f ca="1">IFERROR(__xludf.DUMMYFUNCTION("""COMPUTED_VALUE"""),"для изменения положения при монтаже блока магнита или блока датчика извещателей ИО 102-20, ИО 102-50 и сигнализаторов СМК-20.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102-20, ИО 102-50 и сигнализаторов СМК-20. Позволяет изменить положение одного из блоков на 90 град. Нержавеющая сталь толщиной 1,5 мм</v>
      </c>
      <c r="C771" s="9">
        <f ca="1">IFERROR(__xludf.DUMMYFUNCTION("""COMPUTED_VALUE"""),396.396)</f>
        <v>396.39600000000002</v>
      </c>
      <c r="D771" s="6"/>
      <c r="E771" s="8"/>
    </row>
    <row r="772" spans="1:5" ht="63.75">
      <c r="A772" s="5" t="str">
        <f ca="1">IFERROR(__xludf.DUMMYFUNCTION("""COMPUTED_VALUE"""),"КР-20/50 Нержавейка")</f>
        <v>КР-20/50 Нержавейка</v>
      </c>
      <c r="B772"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772" s="9">
        <f ca="1">IFERROR(__xludf.DUMMYFUNCTION("""COMPUTED_VALUE"""),650)</f>
        <v>650</v>
      </c>
      <c r="D772" s="6"/>
      <c r="E772" s="8"/>
    </row>
    <row r="773" spans="1:5" ht="38.25">
      <c r="A773" s="5" t="str">
        <f ca="1">IFERROR(__xludf.DUMMYFUNCTION("""COMPUTED_VALUE"""),"ИО 102-50 А2П (1) АТФЕ.425119.066 ТУ")</f>
        <v>ИО 102-50 А2П (1) АТФЕ.425119.066 ТУ</v>
      </c>
      <c r="B773"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73" s="9">
        <f ca="1">IFERROR(__xludf.DUMMYFUNCTION("""COMPUTED_VALUE"""),170.94)</f>
        <v>170.94</v>
      </c>
      <c r="D773" s="6"/>
      <c r="E773" s="8"/>
    </row>
    <row r="774" spans="1:5" ht="38.25">
      <c r="A774" s="5" t="str">
        <f ca="1">IFERROR(__xludf.DUMMYFUNCTION("""COMPUTED_VALUE"""),"ИО 102-50 Б2П (1) АТФЕ.425119.066 ТУ")</f>
        <v>ИО 102-50 Б2П (1) АТФЕ.425119.066 ТУ</v>
      </c>
      <c r="B774"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74" s="9">
        <f ca="1">IFERROR(__xludf.DUMMYFUNCTION("""COMPUTED_VALUE"""),170.94)</f>
        <v>170.94</v>
      </c>
      <c r="D774" s="6"/>
      <c r="E774" s="8"/>
    </row>
    <row r="775" spans="1:5" ht="51">
      <c r="A775" s="5" t="str">
        <f ca="1">IFERROR(__xludf.DUMMYFUNCTION("""COMPUTED_VALUE"""),"ИО 102-50 А2П (2) АТФЕ.425119.066 ТУ")</f>
        <v>ИО 102-50 А2П (2) АТФЕ.425119.066 ТУ</v>
      </c>
      <c r="B775"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75" s="9">
        <f ca="1">IFERROR(__xludf.DUMMYFUNCTION("""COMPUTED_VALUE"""),175.56)</f>
        <v>175.56</v>
      </c>
      <c r="D775" s="6"/>
      <c r="E775" s="8"/>
    </row>
    <row r="776" spans="1:5" ht="51">
      <c r="A776" s="5" t="str">
        <f ca="1">IFERROR(__xludf.DUMMYFUNCTION("""COMPUTED_VALUE"""),"ИО 102-50 Б2П (2) АТФЕ.425119.066 ТУ")</f>
        <v>ИО 102-50 Б2П (2) АТФЕ.425119.066 ТУ</v>
      </c>
      <c r="B776" s="6" t="str">
        <f ca="1">IFERROR(__xludf.DUMMYFUNCTION("""COMPUTED_VALUE"""),"Корпус АБС пластик, неразборный, согласно ГОСТ Р 52435, рабочий зазор не менее 30 мм. Специальный пластмассовый защитный рукав.")</f>
        <v>Корпус АБС пластик, неразборный, согласно ГОСТ Р 52435, рабочий зазор не менее 30 мм. Специальный пластмассовый защитный рукав.</v>
      </c>
      <c r="C776" s="9">
        <f ca="1">IFERROR(__xludf.DUMMYFUNCTION("""COMPUTED_VALUE"""),175.56)</f>
        <v>175.56</v>
      </c>
      <c r="D776" s="6"/>
      <c r="E776" s="8"/>
    </row>
    <row r="777" spans="1:5" ht="51">
      <c r="A777" s="5" t="str">
        <f ca="1">IFERROR(__xludf.DUMMYFUNCTION("""COMPUTED_VALUE"""),"ИО 102-50 А2П (3) АТФЕ.425119.066 ТУ")</f>
        <v>ИО 102-50 А2П (3) АТФЕ.425119.066 ТУ</v>
      </c>
      <c r="B777"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77" s="9">
        <f ca="1">IFERROR(__xludf.DUMMYFUNCTION("""COMPUTED_VALUE"""),232.155)</f>
        <v>232.155</v>
      </c>
      <c r="D777" s="6"/>
      <c r="E777" s="8"/>
    </row>
    <row r="778" spans="1:5" ht="51">
      <c r="A778" s="5" t="str">
        <f ca="1">IFERROR(__xludf.DUMMYFUNCTION("""COMPUTED_VALUE"""),"ИО 102-50 Б2П (3) АТФЕ.425119.066 ТУ")</f>
        <v>ИО 102-50 Б2П (3) АТФЕ.425119.066 ТУ</v>
      </c>
      <c r="B778" s="6" t="str">
        <f ca="1">IFERROR(__xludf.DUMMYFUNCTION("""COMPUTED_VALUE"""),"Корпус АБС пластик, неразборный, согласно ГОСТ Р 52435 рабочий зазор не менее 30 мм. Специальный металлический защитный рукав РЗЦ.")</f>
        <v>Корпус АБС пластик, неразборный, согласно ГОСТ Р 52435 рабочий зазор не менее 30 мм. Специальный металлический защитный рукав РЗЦ.</v>
      </c>
      <c r="C778" s="9">
        <f ca="1">IFERROR(__xludf.DUMMYFUNCTION("""COMPUTED_VALUE"""),232.155)</f>
        <v>232.155</v>
      </c>
      <c r="D778" s="6"/>
      <c r="E778" s="8"/>
    </row>
    <row r="779" spans="1:5" ht="25.5">
      <c r="A779" s="5" t="str">
        <f ca="1">IFERROR(__xludf.DUMMYFUNCTION("""COMPUTED_VALUE"""),"ИО 102-50 А2П В АТФЕ.425119.066 ТУ")</f>
        <v>ИО 102-50 А2П В АТФЕ.425119.066 ТУ</v>
      </c>
      <c r="B779"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79" s="9">
        <f ca="1">IFERROR(__xludf.DUMMYFUNCTION("""COMPUTED_VALUE"""),261.03)</f>
        <v>261.02999999999997</v>
      </c>
      <c r="D779" s="6"/>
      <c r="E779" s="8"/>
    </row>
    <row r="780" spans="1:5" ht="25.5">
      <c r="A780" s="5" t="str">
        <f ca="1">IFERROR(__xludf.DUMMYFUNCTION("""COMPUTED_VALUE"""),"ИО 102-50 Б2П В АТФЕ.425119.066 ТУ")</f>
        <v>ИО 102-50 Б2П В АТФЕ.425119.066 ТУ</v>
      </c>
      <c r="B780" s="6" t="str">
        <f ca="1">IFERROR(__xludf.DUMMYFUNCTION("""COMPUTED_VALUE"""),"С подключением шлейфа внутри датчика под винт. Рабочий зазор не менее 30мм")</f>
        <v>С подключением шлейфа внутри датчика под винт. Рабочий зазор не менее 30мм</v>
      </c>
      <c r="C780" s="9">
        <f ca="1">IFERROR(__xludf.DUMMYFUNCTION("""COMPUTED_VALUE"""),258.72)</f>
        <v>258.72000000000003</v>
      </c>
      <c r="D780" s="6"/>
      <c r="E780" s="8"/>
    </row>
    <row r="781" spans="1:5" ht="51">
      <c r="A781" s="5" t="str">
        <f ca="1">IFERROR(__xludf.DUMMYFUNCTION("""COMPUTED_VALUE"""),"ИО 102-50 А2М (3) АТФЕ.425119.066 ТУ")</f>
        <v>ИО 102-50 А2М (3) АТФЕ.425119.066 ТУ</v>
      </c>
      <c r="B781" s="6" t="str">
        <f ca="1">IFERROR(__xludf.DUMMYFUNCTION("""COMPUTED_VALUE"""),"Корпус металлический, неразборный, согласно ГОСТ Р 52435,рабочий зазор не менее 30 мм. Металлический рукав. Вандалозащищенный.")</f>
        <v>Корпус металлический, неразборный, согласно ГОСТ Р 52435,рабочий зазор не менее 30 мм. Металлический рукав. Вандалозащищенный.</v>
      </c>
      <c r="C781" s="9">
        <f ca="1">IFERROR(__xludf.DUMMYFUNCTION("""COMPUTED_VALUE"""),608.685)</f>
        <v>608.68499999999995</v>
      </c>
      <c r="D781" s="6"/>
      <c r="E781" s="8"/>
    </row>
    <row r="782" spans="1:5" ht="51">
      <c r="A782" s="5" t="str">
        <f ca="1">IFERROR(__xludf.DUMMYFUNCTION("""COMPUTED_VALUE"""),"ИО 102-50 Б2М (3) АТФЕ.425119.066 ТУ")</f>
        <v>ИО 102-50 Б2М (3) АТФЕ.425119.066 ТУ</v>
      </c>
      <c r="B782" s="6" t="str">
        <f ca="1">IFERROR(__xludf.DUMMYFUNCTION("""COMPUTED_VALUE"""),"Корпус металлический, неразборный, согласно ГОСТ Р 52435,рабочий зазор не менее 30 мм. Металлический рукав. Вандалозащищенный.")</f>
        <v>Корпус металлический, неразборный, согласно ГОСТ Р 52435,рабочий зазор не менее 30 мм. Металлический рукав. Вандалозащищенный.</v>
      </c>
      <c r="C782" s="9">
        <f ca="1">IFERROR(__xludf.DUMMYFUNCTION("""COMPUTED_VALUE"""),568.26)</f>
        <v>568.26</v>
      </c>
      <c r="D782" s="6"/>
      <c r="E782" s="8"/>
    </row>
    <row r="783" spans="1:5" ht="12.75">
      <c r="A783" s="5" t="str">
        <f ca="1">IFERROR(__xludf.DUMMYFUNCTION("""COMPUTED_VALUE"""),"ИО 102-50 А2М (4) АТФЕ.425119.066 ТУ")</f>
        <v>ИО 102-50 А2М (4) АТФЕ.425119.066 ТУ</v>
      </c>
      <c r="B783" s="6" t="str">
        <f ca="1">IFERROR(__xludf.DUMMYFUNCTION("""COMPUTED_VALUE"""),"металлорукав из нержавеющей стали")</f>
        <v>металлорукав из нержавеющей стали</v>
      </c>
      <c r="C783" s="9">
        <f ca="1">IFERROR(__xludf.DUMMYFUNCTION("""COMPUTED_VALUE"""),646.8)</f>
        <v>646.79999999999995</v>
      </c>
      <c r="D783" s="6"/>
      <c r="E783" s="8"/>
    </row>
    <row r="784" spans="1:5" ht="12.75">
      <c r="A784" s="5" t="str">
        <f ca="1">IFERROR(__xludf.DUMMYFUNCTION("""COMPUTED_VALUE"""),"ИО 102-50 Б2М (4) АТФЕ.425119.066 ТУ")</f>
        <v>ИО 102-50 Б2М (4) АТФЕ.425119.066 ТУ</v>
      </c>
      <c r="B784" s="6" t="str">
        <f ca="1">IFERROR(__xludf.DUMMYFUNCTION("""COMPUTED_VALUE"""),"металлорукав из нержавеющей стали")</f>
        <v>металлорукав из нержавеющей стали</v>
      </c>
      <c r="C784" s="9">
        <f ca="1">IFERROR(__xludf.DUMMYFUNCTION("""COMPUTED_VALUE"""),600.6)</f>
        <v>600.6</v>
      </c>
      <c r="D784" s="6"/>
      <c r="E784" s="8"/>
    </row>
    <row r="785" spans="1:5" ht="63.75">
      <c r="A785" s="5" t="str">
        <f ca="1">IFERROR(__xludf.DUMMYFUNCTION("""COMPUTED_VALUE"""),"ИО 102-50 А3П (1) АТФЕ.425119.066 ТУ")</f>
        <v>ИО 102-50 А3П (1) АТФЕ.425119.066 ТУ</v>
      </c>
      <c r="B785"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85" s="9">
        <f ca="1">IFERROR(__xludf.DUMMYFUNCTION("""COMPUTED_VALUE"""),396.165)</f>
        <v>396.16500000000002</v>
      </c>
      <c r="D785" s="6"/>
      <c r="E785" s="8"/>
    </row>
    <row r="786" spans="1:5" ht="63.75">
      <c r="A786" s="5" t="str">
        <f ca="1">IFERROR(__xludf.DUMMYFUNCTION("""COMPUTED_VALUE"""),"ИО 102-50 Б3П (1) АТФЕ.425119.066 ТУ")</f>
        <v>ИО 102-50 Б3П (1) АТФЕ.425119.066 ТУ</v>
      </c>
      <c r="B786" s="6" t="str">
        <f ca="1">IFERROR(__xludf.DUMMYFUNCTION("""COMPUTED_VALUE"""),"Переключающие, рабочий зазор не менее 15 мм . Корпус АБС пластик, неразборный, согласно ГОСТ Р 52435. Вывод двойная изоляция. Без защитного рукава.")</f>
        <v>Переключающие, рабочий зазор не менее 15 мм . Корпус АБС пластик, неразборный, согласно ГОСТ Р 52435. Вывод двойная изоляция. Без защитного рукава.</v>
      </c>
      <c r="C786" s="9">
        <f ca="1">IFERROR(__xludf.DUMMYFUNCTION("""COMPUTED_VALUE"""),381.15)</f>
        <v>381.15</v>
      </c>
      <c r="D786" s="6"/>
      <c r="E786" s="8"/>
    </row>
    <row r="787" spans="1:5" ht="63.75">
      <c r="A787" s="5" t="str">
        <f ca="1">IFERROR(__xludf.DUMMYFUNCTION("""COMPUTED_VALUE"""),"ИО 102-50 А3П (2) АТФЕ.425119.066 ТУ")</f>
        <v>ИО 102-50 А3П (2) АТФЕ.425119.066 ТУ</v>
      </c>
      <c r="B787"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87" s="9">
        <f ca="1">IFERROR(__xludf.DUMMYFUNCTION("""COMPUTED_VALUE"""),401.94)</f>
        <v>401.94</v>
      </c>
      <c r="D787" s="6"/>
      <c r="E787" s="8"/>
    </row>
    <row r="788" spans="1:5" ht="63.75">
      <c r="A788" s="5" t="str">
        <f ca="1">IFERROR(__xludf.DUMMYFUNCTION("""COMPUTED_VALUE"""),"ИО 102-50 Б3П (2) АТФЕ.425119.066 ТУ")</f>
        <v>ИО 102-50 Б3П (2) АТФЕ.425119.066 ТУ</v>
      </c>
      <c r="B788"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пластмассы.")</f>
        <v>Переключающие, рабочий зазор не менее 15 мм. Корпус АБС пластик, неразборный, согласно ГОСТ Р 52435 Вывод двойная изоляция. Защитный рукав из пластмассы.</v>
      </c>
      <c r="C788" s="9">
        <f ca="1">IFERROR(__xludf.DUMMYFUNCTION("""COMPUTED_VALUE"""),390.39)</f>
        <v>390.39</v>
      </c>
      <c r="D788" s="6"/>
      <c r="E788" s="8"/>
    </row>
    <row r="789" spans="1:5" ht="63.75">
      <c r="A789" s="5" t="str">
        <f ca="1">IFERROR(__xludf.DUMMYFUNCTION("""COMPUTED_VALUE"""),"ИО 102-50 А3П (3) АТФЕ.425119.066 ТУ")</f>
        <v>ИО 102-50 А3П (3) АТФЕ.425119.066 ТУ</v>
      </c>
      <c r="B789"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89" s="9">
        <f ca="1">IFERROR(__xludf.DUMMYFUNCTION("""COMPUTED_VALUE"""),508.2)</f>
        <v>508.2</v>
      </c>
      <c r="D789" s="6"/>
      <c r="E789" s="8"/>
    </row>
    <row r="790" spans="1:5" ht="63.75">
      <c r="A790" s="5" t="str">
        <f ca="1">IFERROR(__xludf.DUMMYFUNCTION("""COMPUTED_VALUE"""),"ИО 102-50 Б3П (3) АТФЕ.425119.066 ТУ")</f>
        <v>ИО 102-50 Б3П (3) АТФЕ.425119.066 ТУ</v>
      </c>
      <c r="B790" s="6" t="str">
        <f ca="1">IFERROR(__xludf.DUMMYFUNCTION("""COMPUTED_VALUE"""),"Переключающие, рабочий зазор не менее 15 мм. Корпус АБС пластик, неразборный, согласно ГОСТ Р 52435. Вывод двойная изоляция. Защитный рукав из металла.")</f>
        <v>Переключающие, рабочий зазор не менее 15 мм. Корпус АБС пластик, неразборный, согласно ГОСТ Р 52435. Вывод двойная изоляция. Защитный рукав из металла.</v>
      </c>
      <c r="C790" s="9">
        <f ca="1">IFERROR(__xludf.DUMMYFUNCTION("""COMPUTED_VALUE"""),508.2)</f>
        <v>508.2</v>
      </c>
      <c r="D790" s="6"/>
      <c r="E790" s="8"/>
    </row>
    <row r="791" spans="1:5" ht="63.75">
      <c r="A791" s="5" t="str">
        <f ca="1">IFERROR(__xludf.DUMMYFUNCTION("""COMPUTED_VALUE"""),"ИО 102-50 А3М (3) АТФЕ.425119.066 ТУ")</f>
        <v>ИО 102-50 А3М (3) АТФЕ.425119.066 ТУ</v>
      </c>
      <c r="B791"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91" s="9">
        <f ca="1">IFERROR(__xludf.DUMMYFUNCTION("""COMPUTED_VALUE"""),1026.1713)</f>
        <v>1026.1713</v>
      </c>
      <c r="D791" s="6"/>
      <c r="E791" s="8"/>
    </row>
    <row r="792" spans="1:5" ht="63.75">
      <c r="A792" s="5" t="str">
        <f ca="1">IFERROR(__xludf.DUMMYFUNCTION("""COMPUTED_VALUE"""),"ИО 102-50 Б3М (3) АТФЕ.425119.066 ТУ")</f>
        <v>ИО 102-50 Б3М (3) АТФЕ.425119.066 ТУ</v>
      </c>
      <c r="B792" s="6" t="str">
        <f ca="1">IFERROR(__xludf.DUMMYFUNCTION("""COMPUTED_VALUE"""),"Переключающие,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f>
        <v>Переключающие, рабочий зазор не менее 15 мм. Корпус металлический, неразборный, согласно ГОСТ Р 52435. Вывод двойная изоляция. Защитный рукав из металла. Вандалозащищенный.</v>
      </c>
      <c r="C792" s="9">
        <f ca="1">IFERROR(__xludf.DUMMYFUNCTION("""COMPUTED_VALUE"""),981.1725)</f>
        <v>981.17250000000001</v>
      </c>
      <c r="D792" s="6"/>
      <c r="E792" s="8"/>
    </row>
    <row r="793" spans="1:5" ht="25.5">
      <c r="A793" s="5" t="str">
        <f ca="1">IFERROR(__xludf.DUMMYFUNCTION("""COMPUTED_VALUE"""),"ИО 102-50 А3М (4) АТФЕ.425119.066 ТУ")</f>
        <v>ИО 102-50 А3М (4) АТФЕ.425119.066 ТУ</v>
      </c>
      <c r="B793" s="6" t="str">
        <f ca="1">IFERROR(__xludf.DUMMYFUNCTION("""COMPUTED_VALUE"""),"Переключающие, металлорукав из нержавеющей стали")</f>
        <v>Переключающие, металлорукав из нержавеющей стали</v>
      </c>
      <c r="C793" s="9">
        <f ca="1">IFERROR(__xludf.DUMMYFUNCTION("""COMPUTED_VALUE"""),1062.6)</f>
        <v>1062.5999999999999</v>
      </c>
      <c r="D793" s="6"/>
      <c r="E793" s="8"/>
    </row>
    <row r="794" spans="1:5" ht="25.5">
      <c r="A794" s="5" t="str">
        <f ca="1">IFERROR(__xludf.DUMMYFUNCTION("""COMPUTED_VALUE"""),"ИО 102-50 Б3М (4) АТФЕ.425119.066 ТУ")</f>
        <v>ИО 102-50 Б3М (4) АТФЕ.425119.066 ТУ</v>
      </c>
      <c r="B794" s="6" t="str">
        <f ca="1">IFERROR(__xludf.DUMMYFUNCTION("""COMPUTED_VALUE"""),"Переключающие, металлорукав из нержавеющей стали")</f>
        <v>Переключающие, металлорукав из нержавеющей стали</v>
      </c>
      <c r="C794" s="9">
        <f ca="1">IFERROR(__xludf.DUMMYFUNCTION("""COMPUTED_VALUE"""),1016.4)</f>
        <v>1016.4</v>
      </c>
      <c r="D794" s="6"/>
      <c r="E794" s="8"/>
    </row>
    <row r="795" spans="1:5" ht="38.25">
      <c r="A795" s="5" t="str">
        <f ca="1">IFERROR(__xludf.DUMMYFUNCTION("""COMPUTED_VALUE"""),"ИО 102-50 Б2П ""Антисаботаж"" АТФЕ.425119.066 ТУ")</f>
        <v>ИО 102-50 Б2П "Антисаботаж" АТФЕ.425119.066 ТУ</v>
      </c>
      <c r="B795" s="6" t="str">
        <f ca="1">IFERROR(__xludf.DUMMYFUNCTION("""COMPUTED_VALUE"""),"Корпус АБС пластик, неразборный, согласно ГОСТ Р 52435 рабочий зазор не менее 30 мм. Без защитного рукава")</f>
        <v>Корпус АБС пластик, неразборный, согласно ГОСТ Р 52435 рабочий зазор не менее 30 мм. Без защитного рукава</v>
      </c>
      <c r="C795" s="9">
        <f ca="1">IFERROR(__xludf.DUMMYFUNCTION("""COMPUTED_VALUE"""),396.98505)</f>
        <v>396.98505</v>
      </c>
      <c r="D795" s="6"/>
      <c r="E795" s="8"/>
    </row>
    <row r="796" spans="1:5" ht="51">
      <c r="A796" s="5" t="str">
        <f ca="1">IFERROR(__xludf.DUMMYFUNCTION("""COMPUTED_VALUE"""),"ИО 102-50 Б2М ""Антисаботаж"" АТФЕ.425119.066 ТУ")</f>
        <v>ИО 102-50 Б2М "Антисаботаж" АТФЕ.425119.066 ТУ</v>
      </c>
      <c r="B796" s="6" t="str">
        <f ca="1">IFERROR(__xludf.DUMMYFUNCTION("""COMPUTED_VALUE"""),"Корпус металлический, неразборный, согласно ГОСТ Р 52435,рабочий зазор не менее 30 мм. Без защитного рукава. Вандалозащищенный.")</f>
        <v>Корпус металлический, неразборный, согласно ГОСТ Р 52435,рабочий зазор не менее 30 мм. Без защитного рукава. Вандалозащищенный.</v>
      </c>
      <c r="C796" s="9">
        <f ca="1">IFERROR(__xludf.DUMMYFUNCTION("""COMPUTED_VALUE"""),984.5913)</f>
        <v>984.59130000000005</v>
      </c>
      <c r="D796" s="6"/>
      <c r="E796" s="8"/>
    </row>
    <row r="797" spans="1:5" ht="38.25">
      <c r="A797" s="5" t="str">
        <f ca="1">IFERROR(__xludf.DUMMYFUNCTION("""COMPUTED_VALUE"""),"ИО 102-20 А2П (1)")</f>
        <v>ИО 102-20 А2П (1)</v>
      </c>
      <c r="B797" s="6" t="str">
        <f ca="1">IFERROR(__xludf.DUMMYFUNCTION("""COMPUTED_VALUE"""),"корпус пластмассовый, неразборный, рабочий зазор не менее 30 мм, без защитного гофрорукава")</f>
        <v>корпус пластмассовый, неразборный, рабочий зазор не менее 30 мм, без защитного гофрорукава</v>
      </c>
      <c r="C797" s="9">
        <f ca="1">IFERROR(__xludf.DUMMYFUNCTION("""COMPUTED_VALUE"""),172.095)</f>
        <v>172.095</v>
      </c>
      <c r="D797" s="6"/>
      <c r="E797" s="8"/>
    </row>
    <row r="798" spans="1:5" ht="38.25">
      <c r="A798" s="5" t="str">
        <f ca="1">IFERROR(__xludf.DUMMYFUNCTION("""COMPUTED_VALUE"""),"ИО 102-20 Б2П (1)")</f>
        <v>ИО 102-20 Б2П (1)</v>
      </c>
      <c r="B798" s="6" t="str">
        <f ca="1">IFERROR(__xludf.DUMMYFUNCTION("""COMPUTED_VALUE"""),"корпус пластмассовый, неразборный, рабочий зазор не менее 30 мм, без защитного гофрорукава")</f>
        <v>корпус пластмассовый, неразборный, рабочий зазор не менее 30 мм, без защитного гофрорукава</v>
      </c>
      <c r="C798" s="9">
        <f ca="1">IFERROR(__xludf.DUMMYFUNCTION("""COMPUTED_VALUE"""),172.095)</f>
        <v>172.095</v>
      </c>
      <c r="D798" s="6"/>
      <c r="E798" s="8"/>
    </row>
    <row r="799" spans="1:5" ht="38.25">
      <c r="A799" s="5" t="str">
        <f ca="1">IFERROR(__xludf.DUMMYFUNCTION("""COMPUTED_VALUE"""),"ИО 102-20 А2П (2)")</f>
        <v>ИО 102-20 А2П (2)</v>
      </c>
      <c r="B799"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799" s="9">
        <f ca="1">IFERROR(__xludf.DUMMYFUNCTION("""COMPUTED_VALUE"""),176.715)</f>
        <v>176.715</v>
      </c>
      <c r="D799" s="6"/>
      <c r="E799" s="8"/>
    </row>
    <row r="800" spans="1:5" ht="38.25">
      <c r="A800" s="5" t="str">
        <f ca="1">IFERROR(__xludf.DUMMYFUNCTION("""COMPUTED_VALUE"""),"ИО 102-20 Б2П (2)")</f>
        <v>ИО 102-20 Б2П (2)</v>
      </c>
      <c r="B800"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0" s="9">
        <f ca="1">IFERROR(__xludf.DUMMYFUNCTION("""COMPUTED_VALUE"""),176.715)</f>
        <v>176.715</v>
      </c>
      <c r="D800" s="6"/>
      <c r="E800" s="8"/>
    </row>
    <row r="801" spans="1:5" ht="38.25">
      <c r="A801" s="5" t="str">
        <f ca="1">IFERROR(__xludf.DUMMYFUNCTION("""COMPUTED_VALUE"""),"ИО 102-20 А2П (3)")</f>
        <v>ИО 102-20 А2П (3)</v>
      </c>
      <c r="B801" s="6" t="str">
        <f ca="1">IFERROR(__xludf.DUMMYFUNCTION("""COMPUTED_VALUE"""),"корпус пластмассовый, неразборный, рабочий зазор не менее 30 мм, металлический защитный гофрорукав")</f>
        <v>корпус пластмассовый, неразборный, рабочий зазор не менее 30 мм, металлический защитный гофрорукав</v>
      </c>
      <c r="C801" s="9">
        <f ca="1">IFERROR(__xludf.DUMMYFUNCTION("""COMPUTED_VALUE"""),242.55)</f>
        <v>242.55</v>
      </c>
      <c r="D801" s="6"/>
      <c r="E801" s="8"/>
    </row>
    <row r="802" spans="1:5" ht="38.25">
      <c r="A802" s="5" t="str">
        <f ca="1">IFERROR(__xludf.DUMMYFUNCTION("""COMPUTED_VALUE"""),"ИО 102-20 Б2П (3)")</f>
        <v>ИО 102-20 Б2П (3)</v>
      </c>
      <c r="B802" s="6" t="str">
        <f ca="1">IFERROR(__xludf.DUMMYFUNCTION("""COMPUTED_VALUE"""),"корпус пластмассовый, неразборный, рабочий зазор не менее 30 мм, металлический защитный гофрорукав")</f>
        <v>корпус пластмассовый, неразборный, рабочий зазор не менее 30 мм, металлический защитный гофрорукав</v>
      </c>
      <c r="C802" s="9">
        <f ca="1">IFERROR(__xludf.DUMMYFUNCTION("""COMPUTED_VALUE"""),242.55)</f>
        <v>242.55</v>
      </c>
      <c r="D802" s="6"/>
      <c r="E802" s="8"/>
    </row>
    <row r="803" spans="1:5" ht="38.25">
      <c r="A803" s="5" t="str">
        <f ca="1">IFERROR(__xludf.DUMMYFUNCTION("""COMPUTED_VALUE"""),"ИО 102-20 А2П В")</f>
        <v>ИО 102-20 А2П В</v>
      </c>
      <c r="B803"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3" s="9">
        <f ca="1">IFERROR(__xludf.DUMMYFUNCTION("""COMPUTED_VALUE"""),242.55)</f>
        <v>242.55</v>
      </c>
      <c r="D803" s="6"/>
      <c r="E803" s="8"/>
    </row>
    <row r="804" spans="1:5" ht="38.25">
      <c r="A804" s="5" t="str">
        <f ca="1">IFERROR(__xludf.DUMMYFUNCTION("""COMPUTED_VALUE"""),"ИО 102-20 Б2П В")</f>
        <v>ИО 102-20 Б2П В</v>
      </c>
      <c r="B804" s="6" t="str">
        <f ca="1">IFERROR(__xludf.DUMMYFUNCTION("""COMPUTED_VALUE"""),"корпус пластмассовый, неразборный, рабочий зазор не менее 30 мм, пластмассовый защитный гофрорукав")</f>
        <v>корпус пластмассовый, неразборный, рабочий зазор не менее 30 мм, пластмассовый защитный гофрорукав</v>
      </c>
      <c r="C804" s="9">
        <f ca="1">IFERROR(__xludf.DUMMYFUNCTION("""COMPUTED_VALUE"""),242.55)</f>
        <v>242.55</v>
      </c>
      <c r="D804" s="6"/>
      <c r="E804" s="8"/>
    </row>
    <row r="805" spans="1:5" ht="38.25">
      <c r="A805" s="5" t="str">
        <f ca="1">IFERROR(__xludf.DUMMYFUNCTION("""COMPUTED_VALUE"""),"ИО 102-20 А2М (3)")</f>
        <v>ИО 102-20 А2М (3)</v>
      </c>
      <c r="B805" s="6" t="str">
        <f ca="1">IFERROR(__xludf.DUMMYFUNCTION("""COMPUTED_VALUE"""),"корпус металлический, неразборный, рабочий зазор не менее 30 мм, металлический защитный гофрорукав")</f>
        <v>корпус металлический, неразборный, рабочий зазор не менее 30 мм, металлический защитный гофрорукав</v>
      </c>
      <c r="C805" s="9">
        <f ca="1">IFERROR(__xludf.DUMMYFUNCTION("""COMPUTED_VALUE"""),610.995)</f>
        <v>610.995</v>
      </c>
      <c r="D805" s="6"/>
      <c r="E805" s="8"/>
    </row>
    <row r="806" spans="1:5" ht="38.25">
      <c r="A806" s="5" t="str">
        <f ca="1">IFERROR(__xludf.DUMMYFUNCTION("""COMPUTED_VALUE"""),"ИО 102-20 Б2М (3)")</f>
        <v>ИО 102-20 Б2М (3)</v>
      </c>
      <c r="B806" s="6" t="str">
        <f ca="1">IFERROR(__xludf.DUMMYFUNCTION("""COMPUTED_VALUE"""),"корпус металлический, неразборный, рабочий зазор не менее 30 мм, металлический защитный гофрорукав")</f>
        <v>корпус металлический, неразборный, рабочий зазор не менее 30 мм, металлический защитный гофрорукав</v>
      </c>
      <c r="C806" s="9">
        <f ca="1">IFERROR(__xludf.DUMMYFUNCTION("""COMPUTED_VALUE"""),571.725)</f>
        <v>571.72500000000002</v>
      </c>
      <c r="D806" s="6"/>
      <c r="E806" s="8"/>
    </row>
    <row r="807" spans="1:5" ht="12.75">
      <c r="A807" s="5" t="str">
        <f ca="1">IFERROR(__xludf.DUMMYFUNCTION("""COMPUTED_VALUE"""),"ИО 102-20 А2М (4)")</f>
        <v>ИО 102-20 А2М (4)</v>
      </c>
      <c r="B807" s="6" t="str">
        <f ca="1">IFERROR(__xludf.DUMMYFUNCTION("""COMPUTED_VALUE"""),"металлорукав из нержавеющей стали")</f>
        <v>металлорукав из нержавеющей стали</v>
      </c>
      <c r="C807" s="9">
        <f ca="1">IFERROR(__xludf.DUMMYFUNCTION("""COMPUTED_VALUE"""),646.8)</f>
        <v>646.79999999999995</v>
      </c>
      <c r="D807" s="6"/>
      <c r="E807" s="8"/>
    </row>
    <row r="808" spans="1:5" ht="12.75">
      <c r="A808" s="5" t="str">
        <f ca="1">IFERROR(__xludf.DUMMYFUNCTION("""COMPUTED_VALUE"""),"ИО 102-20 Б2М (4)")</f>
        <v>ИО 102-20 Б2М (4)</v>
      </c>
      <c r="B808" s="6" t="str">
        <f ca="1">IFERROR(__xludf.DUMMYFUNCTION("""COMPUTED_VALUE"""),"металлорукав из нержавеющей стали")</f>
        <v>металлорукав из нержавеющей стали</v>
      </c>
      <c r="C808" s="9">
        <f ca="1">IFERROR(__xludf.DUMMYFUNCTION("""COMPUTED_VALUE"""),612.15)</f>
        <v>612.15</v>
      </c>
      <c r="D808" s="6"/>
      <c r="E808" s="8"/>
    </row>
    <row r="809" spans="1:5" ht="51">
      <c r="A809" s="5" t="str">
        <f ca="1">IFERROR(__xludf.DUMMYFUNCTION("""COMPUTED_VALUE"""),"ИО 102-20 А3П (1)")</f>
        <v>ИО 102-20 А3П (1)</v>
      </c>
      <c r="B809" s="6" t="str">
        <f ca="1">IFERROR(__xludf.DUMMYFUNCTION("""COMPUTED_VALUE"""),"переключающие, рабочий зазор не менее 14 мм, корпус пластмассовый, неразборный, без защитного гофрорукава")</f>
        <v>переключающие, рабочий зазор не менее 14 мм, корпус пластмассовый, неразборный, без защитного гофрорукава</v>
      </c>
      <c r="C809" s="9">
        <f ca="1">IFERROR(__xludf.DUMMYFUNCTION("""COMPUTED_VALUE"""),397.32)</f>
        <v>397.32</v>
      </c>
      <c r="D809" s="6"/>
      <c r="E809" s="8"/>
    </row>
    <row r="810" spans="1:5" ht="51">
      <c r="A810" s="5" t="str">
        <f ca="1">IFERROR(__xludf.DUMMYFUNCTION("""COMPUTED_VALUE"""),"ИО 102-20 Б3П (1)")</f>
        <v>ИО 102-20 Б3П (1)</v>
      </c>
      <c r="B810" s="6" t="str">
        <f ca="1">IFERROR(__xludf.DUMMYFUNCTION("""COMPUTED_VALUE"""),"переключающие, рабочий зазор не менее 14 мм, корпус пластмассовый, неразборный, без защитного гофрорукава")</f>
        <v>переключающие, рабочий зазор не менее 14 мм, корпус пластмассовый, неразборный, без защитного гофрорукава</v>
      </c>
      <c r="C810" s="9">
        <f ca="1">IFERROR(__xludf.DUMMYFUNCTION("""COMPUTED_VALUE"""),385.77)</f>
        <v>385.77</v>
      </c>
      <c r="D810" s="6"/>
      <c r="E810" s="8"/>
    </row>
    <row r="811" spans="1:5" ht="51">
      <c r="A811" s="5" t="str">
        <f ca="1">IFERROR(__xludf.DUMMYFUNCTION("""COMPUTED_VALUE"""),"ИО 102-20 А3П (2)")</f>
        <v>ИО 102-20 А3П (2)</v>
      </c>
      <c r="B811" s="6" t="str">
        <f ca="1">IFERROR(__xludf.DUMMYFUNCTION("""COMPUTED_VALUE"""),"переключающие, рабочий зазор не менее 14 мм, корпус пластмассовый, неразборный, пластмассовый защитный гофрорукав")</f>
        <v>переключающие, рабочий зазор не менее 14 мм, корпус пластмассовый, неразборный, пластмассовый защитный гофрорукав</v>
      </c>
      <c r="C811" s="9">
        <f ca="1">IFERROR(__xludf.DUMMYFUNCTION("""COMPUTED_VALUE"""),404.25)</f>
        <v>404.25</v>
      </c>
      <c r="D811" s="6"/>
      <c r="E811" s="8"/>
    </row>
    <row r="812" spans="1:5" ht="51">
      <c r="A812" s="5" t="str">
        <f ca="1">IFERROR(__xludf.DUMMYFUNCTION("""COMPUTED_VALUE"""),"ИО 102-20 Б3П (2)")</f>
        <v>ИО 102-20 Б3П (2)</v>
      </c>
      <c r="B812" s="6" t="str">
        <f ca="1">IFERROR(__xludf.DUMMYFUNCTION("""COMPUTED_VALUE"""),"переключающие, рабочий зазор не менее 14 мм, корпус пластмассовый, неразборный, пластмассовый защитный гофрорукав")</f>
        <v>переключающие, рабочий зазор не менее 14 мм, корпус пластмассовый, неразборный, пластмассовый защитный гофрорукав</v>
      </c>
      <c r="C812" s="9">
        <f ca="1">IFERROR(__xludf.DUMMYFUNCTION("""COMPUTED_VALUE"""),393.855)</f>
        <v>393.85500000000002</v>
      </c>
      <c r="D812" s="6"/>
      <c r="E812" s="8"/>
    </row>
    <row r="813" spans="1:5" ht="51">
      <c r="A813" s="5" t="str">
        <f ca="1">IFERROR(__xludf.DUMMYFUNCTION("""COMPUTED_VALUE"""),"ИО 102-20 А3П (3)")</f>
        <v>ИО 102-20 А3П (3)</v>
      </c>
      <c r="B813" s="6" t="str">
        <f ca="1">IFERROR(__xludf.DUMMYFUNCTION("""COMPUTED_VALUE"""),"переключающие, рабочий зазор не менее 14 мм, корпус пластмассовый, неразборный, металлический защитный гофрорукав")</f>
        <v>переключающие, рабочий зазор не менее 14 мм, корпус пластмассовый, неразборный, металлический защитный гофрорукав</v>
      </c>
      <c r="C813" s="9">
        <f ca="1">IFERROR(__xludf.DUMMYFUNCTION("""COMPUTED_VALUE"""),498.96)</f>
        <v>498.96</v>
      </c>
      <c r="D813" s="6"/>
      <c r="E813" s="8"/>
    </row>
    <row r="814" spans="1:5" ht="51">
      <c r="A814" s="5" t="str">
        <f ca="1">IFERROR(__xludf.DUMMYFUNCTION("""COMPUTED_VALUE"""),"ИО 102-20 Б3П (3)")</f>
        <v>ИО 102-20 Б3П (3)</v>
      </c>
      <c r="B814" s="6" t="str">
        <f ca="1">IFERROR(__xludf.DUMMYFUNCTION("""COMPUTED_VALUE"""),"переключающие, рабочий зазор не менее 14 мм, корпус пластмассовый, неразборный, металлический защитный гофрорукав")</f>
        <v>переключающие, рабочий зазор не менее 14 мм, корпус пластмассовый, неразборный, металлический защитный гофрорукав</v>
      </c>
      <c r="C814" s="9">
        <f ca="1">IFERROR(__xludf.DUMMYFUNCTION("""COMPUTED_VALUE"""),493.185)</f>
        <v>493.185</v>
      </c>
      <c r="D814" s="6"/>
      <c r="E814" s="8"/>
    </row>
    <row r="815" spans="1:5" ht="51">
      <c r="A815" s="5" t="str">
        <f ca="1">IFERROR(__xludf.DUMMYFUNCTION("""COMPUTED_VALUE"""),"ИО 102-20 А3М (3)")</f>
        <v>ИО 102-20 А3М (3)</v>
      </c>
      <c r="B815" s="6" t="str">
        <f ca="1">IFERROR(__xludf.DUMMYFUNCTION("""COMPUTED_VALUE"""),"переключающие, рабочий зазор не менее 14 мм, корпус металлический, неразборный, металлический защитный гофрорукав")</f>
        <v>переключающие, рабочий зазор не менее 14 мм, корпус металлический, неразборный, металлический защитный гофрорукав</v>
      </c>
      <c r="C815" s="9">
        <f ca="1">IFERROR(__xludf.DUMMYFUNCTION("""COMPUTED_VALUE"""),961.2603)</f>
        <v>961.26030000000003</v>
      </c>
      <c r="D815" s="6"/>
      <c r="E815" s="8"/>
    </row>
    <row r="816" spans="1:5" ht="51">
      <c r="A816" s="5" t="str">
        <f ca="1">IFERROR(__xludf.DUMMYFUNCTION("""COMPUTED_VALUE"""),"ИО 102-20 Б3М (3)")</f>
        <v>ИО 102-20 Б3М (3)</v>
      </c>
      <c r="B816" s="6" t="str">
        <f ca="1">IFERROR(__xludf.DUMMYFUNCTION("""COMPUTED_VALUE"""),"переключающие, рабочий зазор не менее 14 мм, корпус металлический, неразборный, металлический защитный гофрорукав")</f>
        <v>переключающие, рабочий зазор не менее 14 мм, корпус металлический, неразборный, металлический защитный гофрорукав</v>
      </c>
      <c r="C816" s="9">
        <f ca="1">IFERROR(__xludf.DUMMYFUNCTION("""COMPUTED_VALUE"""),916.66575)</f>
        <v>916.66575</v>
      </c>
      <c r="D816" s="6"/>
      <c r="E816" s="8"/>
    </row>
    <row r="817" spans="1:5" ht="25.5">
      <c r="A817" s="5" t="str">
        <f ca="1">IFERROR(__xludf.DUMMYFUNCTION("""COMPUTED_VALUE"""),"ИО 102-20 А3М (4)")</f>
        <v>ИО 102-20 А3М (4)</v>
      </c>
      <c r="B817" s="6" t="str">
        <f ca="1">IFERROR(__xludf.DUMMYFUNCTION("""COMPUTED_VALUE"""),"Переключающие, металлорукав из нержавеющей стали")</f>
        <v>Переключающие, металлорукав из нержавеющей стали</v>
      </c>
      <c r="C817" s="9">
        <f ca="1">IFERROR(__xludf.DUMMYFUNCTION("""COMPUTED_VALUE"""),993.3)</f>
        <v>993.3</v>
      </c>
      <c r="D817" s="6"/>
      <c r="E817" s="8"/>
    </row>
    <row r="818" spans="1:5" ht="25.5">
      <c r="A818" s="5" t="str">
        <f ca="1">IFERROR(__xludf.DUMMYFUNCTION("""COMPUTED_VALUE"""),"ИО 102-20 Б3М (4)")</f>
        <v>ИО 102-20 Б3М (4)</v>
      </c>
      <c r="B818" s="6" t="str">
        <f ca="1">IFERROR(__xludf.DUMMYFUNCTION("""COMPUTED_VALUE"""),"Переключающие, металлорукав из нержавеющей стали")</f>
        <v>Переключающие, металлорукав из нержавеющей стали</v>
      </c>
      <c r="C818" s="9">
        <f ca="1">IFERROR(__xludf.DUMMYFUNCTION("""COMPUTED_VALUE"""),952.875)</f>
        <v>952.875</v>
      </c>
      <c r="D818" s="6"/>
      <c r="E818" s="8"/>
    </row>
    <row r="819" spans="1:5" ht="114.75">
      <c r="A819" s="5" t="str">
        <f ca="1">IFERROR(__xludf.DUMMYFUNCTION("""COMPUTED_VALUE"""),"ИО 102-40К исп.01 IP55 АТФЕ.425119.075")</f>
        <v>ИО 102-40К исп.01 IP55 АТФЕ.425119.075</v>
      </c>
      <c r="B819" s="6" t="str">
        <f ca="1">IFERROR(__xludf.DUMMYFUNCTION("""COMPUTED_VALUE"""),"Извещатель охранный точечный магнитоконтактный, для блокировки канализационных люков. Металлический корпус, вывод 400 мм (КСПВГ 2х0,2 Ø3мм), геркон НР. Покрытие корпусов вандалоустойчивыми красками: Антик, Антик серебряный, порошковые - +150 руб., покрыти"&amp;"е простыми красками - + 100руб.")</f>
        <v>Извещатель охранный точечный магнитоконтактный, для блокировки канализационных люков. Металлический корпус, вывод 400 мм (КСПВГ 2х0,2 Ø3мм), геркон НР. Покрытие корпусов вандалоустойчивыми красками: Антик, Антик серебряный, порошковые - +150 руб., покрытие простыми красками - + 100руб.</v>
      </c>
      <c r="C819" s="9">
        <f ca="1">IFERROR(__xludf.DUMMYFUNCTION("""COMPUTED_VALUE"""),1511.5947)</f>
        <v>1511.5947000000001</v>
      </c>
      <c r="D819" s="6"/>
      <c r="E819" s="8"/>
    </row>
    <row r="820" spans="1:5" ht="114.75">
      <c r="A820" s="5" t="str">
        <f ca="1">IFERROR(__xludf.DUMMYFUNCTION("""COMPUTED_VALUE"""),"ИО 102-40К исп.02 IP55 АТФЕ.425119.075")</f>
        <v>ИО 102-40К исп.02 IP55 АТФЕ.425119.075</v>
      </c>
      <c r="B820" s="6" t="str">
        <f ca="1">IFERROR(__xludf.DUMMYFUNCTION("""COMPUTED_VALUE"""),"Извещатель охранный точечный магнитоконтактный, для блокировки канализационных люков. Металлический корпус, вывод 400 мм (КСПВГ 4х0,2 Ø3,5мм ), геркон переключающий. Покрытие корпусов вандалоустойчивыми красками: Антик, Антик серебряный, порошковые - +150"&amp;" руб., покрытие простыми красками - + 100руб.")</f>
        <v>Извещатель охранный точечный магнитоконтактный, для блокировки канализационных люков. Металлический корпус, вывод 400 мм (КСПВГ 4х0,2 Ø3,5мм ), геркон переключающий. Покрытие корпусов вандалоустойчивыми красками: Антик, Антик серебряный, порошковые - +150 руб., покрытие простыми красками - + 100руб.</v>
      </c>
      <c r="C820" s="9">
        <f ca="1">IFERROR(__xludf.DUMMYFUNCTION("""COMPUTED_VALUE"""),1943.99205)</f>
        <v>1943.9920500000001</v>
      </c>
      <c r="D820" s="6"/>
      <c r="E820" s="8"/>
    </row>
    <row r="821" spans="1:5" ht="38.25">
      <c r="A821" s="5" t="str">
        <f ca="1">IFERROR(__xludf.DUMMYFUNCTION("""COMPUTED_VALUE"""),"ДПМ-1Ех исп.А1 М175 К  (или магнит М250/М275/М300)  (соответствует ДПМ-1Ех исп.00) 0Ex ia IIC T6 Ga Х/РО Ex ia I Ma Х ПАШК.425119.118 ПС")</f>
        <v>ДПМ-1Ех исп.А1 М175 К  (или магнит М250/М275/М300)  (соответствует ДПМ-1Ех исп.00) 0Ex ia IIC T6 Ga Х/РО Ex ia I Ma Х ПАШК.425119.118 ПС</v>
      </c>
      <c r="B821" s="6" t="str">
        <f ca="1">IFERROR(__xludf.DUMMYFUNCTION("""COMPUTED_VALUE"""),"НР геркон, 1м*×ПВС 2×0.75 (двойная изоляция). расстояние срабатывания зависит от типа магнита")</f>
        <v>НР геркон, 1м*×ПВС 2×0.75 (двойная изоляция). расстояние срабатывания зависит от типа магнита</v>
      </c>
      <c r="C821" s="9">
        <f ca="1">IFERROR(__xludf.DUMMYFUNCTION("""COMPUTED_VALUE"""),4498.78)</f>
        <v>4498.78</v>
      </c>
      <c r="D821" s="6"/>
      <c r="E821" s="8"/>
    </row>
    <row r="822" spans="1:5" ht="38.25">
      <c r="A822" s="5" t="str">
        <f ca="1">IFERROR(__xludf.DUMMYFUNCTION("""COMPUTED_VALUE"""),"ДПМ-1Ех исп.С1 М175 К  (или магнит М250/М275/М300)  (соответствует ДПМ-1Ех исп.02) 0Ex ia IIC T6 Ga Х/РО Ex ia I Ma Х ПАШК.425119.118 ПС")</f>
        <v>ДПМ-1Ех исп.С1 М175 К  (или магнит М250/М275/М300)  (соответствует ДПМ-1Ех исп.02) 0Ex ia IIC T6 Ga Х/РО Ex ia I Ma Х ПАШК.425119.118 ПС</v>
      </c>
      <c r="B822" s="6" t="str">
        <f ca="1">IFERROR(__xludf.DUMMYFUNCTION("""COMPUTED_VALUE"""),"переключающий геркон, 1м*×ПВС 3×0.75 (двойная изоляция). расстояние срабатывания зависит от типа магнита")</f>
        <v>переключающий геркон, 1м*×ПВС 3×0.75 (двойная изоляция). расстояние срабатывания зависит от типа магнита</v>
      </c>
      <c r="C822" s="9">
        <f ca="1">IFERROR(__xludf.DUMMYFUNCTION("""COMPUTED_VALUE"""),5450.445)</f>
        <v>5450.4449999999997</v>
      </c>
      <c r="D822" s="6"/>
      <c r="E822" s="8"/>
    </row>
    <row r="823" spans="1:5" ht="63.75">
      <c r="A823" s="5" t="str">
        <f ca="1">IFERROR(__xludf.DUMMYFUNCTION("""COMPUTED_VALUE"""),"ДПМ-1Ех исп.А1 М175 КМ  (или магнит М250/М275/М300)  (соответствует ДПМ-1Ех исп.04) 0Ex ia IIC T6 Ga Х/РО Ex ia I Ma Х ПАШК.425119.118 ПС")</f>
        <v>ДПМ-1Ех исп.А1 М175 КМ  (или магнит М250/М275/М300)  (соответствует ДПМ-1Ех исп.04) 0Ex ia IIC T6 Ga Х/РО Ex ia I Ma Х ПАШК.425119.118 ПС</v>
      </c>
      <c r="B823" s="6" t="str">
        <f ca="1">IFERROR(__xludf.DUMMYFUNCTION("""COMPUTED_VALUE"""),"НР геркон, 1м*×ПВС 2×0.75 (металлорукав 
 РЗН - материал нержавеющая сталь). расстояние срабатывания зависит от типа магнита")</f>
        <v>НР геркон, 1м*×ПВС 2×0.75 (металлорукав 
 РЗН - материал нержавеющая сталь). расстояние срабатывания зависит от типа магнита</v>
      </c>
      <c r="C823" s="9">
        <f ca="1">IFERROR(__xludf.DUMMYFUNCTION("""COMPUTED_VALUE"""),5675.384)</f>
        <v>5675.384</v>
      </c>
      <c r="D823" s="6"/>
      <c r="E823" s="8"/>
    </row>
    <row r="824" spans="1:5" ht="63.75">
      <c r="A824" s="5" t="str">
        <f ca="1">IFERROR(__xludf.DUMMYFUNCTION("""COMPUTED_VALUE"""),"ДПМ-1Ех исп.С1 М175 КМ  (или магнит М250/М275/М300)  (соответствует ДПМ-1Ех исп.05) 0Ex ia IIC T6 Ga Х/РО Ex ia I Ma Х ПАШК.425119.118 ПС")</f>
        <v>ДПМ-1Ех исп.С1 М175 КМ  (или магнит М250/М275/М300)  (соответствует ДПМ-1Ех исп.05) 0Ex ia IIC T6 Ga Х/РО Ex ia I Ma Х ПАШК.425119.118 ПС</v>
      </c>
      <c r="B824" s="6" t="str">
        <f ca="1">IFERROR(__xludf.DUMMYFUNCTION("""COMPUTED_VALUE"""),"переключающий, 1м*×ПВС 3×0.75 (металлорукав 
 РЗН - материал нержавеющая сталь). расстояние срабатывания зависит от типа магнита")</f>
        <v>переключающий, 1м*×ПВС 3×0.75 (металлорукав 
 РЗН - материал нержавеющая сталь). расстояние срабатывания зависит от типа магнита</v>
      </c>
      <c r="C824" s="9">
        <f ca="1">IFERROR(__xludf.DUMMYFUNCTION("""COMPUTED_VALUE"""),5883.02)</f>
        <v>5883.02</v>
      </c>
      <c r="D824" s="6"/>
      <c r="E824" s="8"/>
    </row>
    <row r="825" spans="1:5" ht="38.25">
      <c r="A825" s="5" t="str">
        <f ca="1">IFERROR(__xludf.DUMMYFUNCTION("""COMPUTED_VALUE"""),"ДПМ-1Ех исп.А1 М150 К  0Ex ia IIC T6 Ga Х/РО Ex ia I Ma Х ПАШК.425119.118 ПС")</f>
        <v>ДПМ-1Ех исп.А1 М150 К  0Ex ia IIC T6 Ga Х/РО Ex ia I Ma Х ПАШК.425119.118 ПС</v>
      </c>
      <c r="B825" s="6" t="str">
        <f ca="1">IFERROR(__xludf.DUMMYFUNCTION("""COMPUTED_VALUE"""),"НР геркон, 1м*×ПВС 2×0.75 (двойная изоляция).расстояние срабатывания 50мм и менее-70мм и более")</f>
        <v>НР геркон, 1м*×ПВС 2×0.75 (двойная изоляция).расстояние срабатывания 50мм и менее-70мм и более</v>
      </c>
      <c r="C825" s="9">
        <f ca="1">IFERROR(__xludf.DUMMYFUNCTION("""COMPUTED_VALUE"""),4900)</f>
        <v>4900</v>
      </c>
      <c r="D825" s="6"/>
      <c r="E825" s="8"/>
    </row>
    <row r="826" spans="1:5" ht="51">
      <c r="A826" s="5" t="str">
        <f ca="1">IFERROR(__xludf.DUMMYFUNCTION("""COMPUTED_VALUE"""),"ДПМ-1Ех исп.С1 М150 К 0Ex ia IIC T6 Ga Х/РО Ex ia I Ma Х ПАШК.425119.118 ПС")</f>
        <v>ДПМ-1Ех исп.С1 М150 К 0Ex ia IIC T6 Ga Х/РО Ex ia I Ma Х ПАШК.425119.118 ПС</v>
      </c>
      <c r="B826" s="6" t="str">
        <f ca="1">IFERROR(__xludf.DUMMYFUNCTION("""COMPUTED_VALUE"""),"переключающий геркон, 1м*×ПВС 3×0.75 (двойная изоляция). расстояние срабатывания 50мм и менее-70мм и более")</f>
        <v>переключающий геркон, 1м*×ПВС 3×0.75 (двойная изоляция). расстояние срабатывания 50мм и менее-70мм и более</v>
      </c>
      <c r="C826" s="9">
        <f ca="1">IFERROR(__xludf.DUMMYFUNCTION("""COMPUTED_VALUE"""),5850)</f>
        <v>5850</v>
      </c>
      <c r="D826" s="6"/>
      <c r="E826" s="8"/>
    </row>
    <row r="827" spans="1:5" ht="63.75">
      <c r="A827" s="5" t="str">
        <f ca="1">IFERROR(__xludf.DUMMYFUNCTION("""COMPUTED_VALUE"""),"ДПМ-1Ех исп.А1 М150 КМ 0Ex ia IIC T6 Ga Х/РО Ex ia I Ma Х ПАШК.425119.118 ПС")</f>
        <v>ДПМ-1Ех исп.А1 М150 КМ 0Ex ia IIC T6 Ga Х/РО Ex ia I Ma Х ПАШК.425119.118 ПС</v>
      </c>
      <c r="B827" s="6" t="str">
        <f ca="1">IFERROR(__xludf.DUMMYFUNCTION("""COMPUTED_VALUE"""),"НР геркон, 1м*×ПВС 2×0.75 (металлорукав 
 РЗН - материал нержавеющая сталь). расстояние срабатывания 50мм и менее-70мм и более")</f>
        <v>НР геркон, 1м*×ПВС 2×0.75 (металлорукав 
 РЗН - материал нержавеющая сталь). расстояние срабатывания 50мм и менее-70мм и более</v>
      </c>
      <c r="C827" s="9">
        <f ca="1">IFERROR(__xludf.DUMMYFUNCTION("""COMPUTED_VALUE"""),6075)</f>
        <v>6075</v>
      </c>
      <c r="D827" s="6"/>
      <c r="E827" s="8"/>
    </row>
    <row r="828" spans="1:5" ht="63.75">
      <c r="A828" s="5" t="str">
        <f ca="1">IFERROR(__xludf.DUMMYFUNCTION("""COMPUTED_VALUE"""),"ДПМ-1Ех исп.С1 М150 КМ 0Ex ia IIC T6 Ga Х/РО Ex ia I Ma Х ПАШК.425119.118 ПС")</f>
        <v>ДПМ-1Ех исп.С1 М150 КМ 0Ex ia IIC T6 Ga Х/РО Ex ia I Ma Х ПАШК.425119.118 ПС</v>
      </c>
      <c r="B828" s="6" t="str">
        <f ca="1">IFERROR(__xludf.DUMMYFUNCTION("""COMPUTED_VALUE"""),"переключающий, 1м*×ПВС 3×0.75 (металлорукав 
 РЗН - материал нержавеющая сталь). расстояние срабатывания 50мм и менее-70мм и более")</f>
        <v>переключающий, 1м*×ПВС 3×0.75 (металлорукав 
 РЗН - материал нержавеющая сталь). расстояние срабатывания 50мм и менее-70мм и более</v>
      </c>
      <c r="C828" s="9">
        <f ca="1">IFERROR(__xludf.DUMMYFUNCTION("""COMPUTED_VALUE"""),6280)</f>
        <v>6280</v>
      </c>
      <c r="D828" s="6"/>
      <c r="E828" s="8"/>
    </row>
    <row r="829" spans="1:5" ht="63.75">
      <c r="A829" s="5" t="str">
        <f ca="1">IFERROR(__xludf.DUMMYFUNCTION("""COMPUTED_VALUE"""),"ИП 212-69/3М АЯКС с АКБ ТУ 4371-003-18886337-15")</f>
        <v>ИП 212-69/3М АЯКС с АКБ ТУ 4371-003-18886337-15</v>
      </c>
      <c r="B829" s="6" t="str">
        <f ca="1">IFERROR(__xludf.DUMMYFUNCTION("""COMPUTED_VALUE"""),"Извещатель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f>
        <v>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v>
      </c>
      <c r="C829" s="9">
        <f ca="1">IFERROR(__xludf.DUMMYFUNCTION("""COMPUTED_VALUE"""),609.84)</f>
        <v>609.84</v>
      </c>
      <c r="D829" s="6"/>
      <c r="E829" s="8"/>
    </row>
    <row r="830" spans="1:5" ht="63.75">
      <c r="A830" s="5" t="str">
        <f ca="1">IFERROR(__xludf.DUMMYFUNCTION("""COMPUTED_VALUE"""),"ИП 212-69/3М АЯКС без АКБ ТУ 4371-003-18886337-15")</f>
        <v>ИП 212-69/3М АЯКС без АКБ ТУ 4371-003-18886337-15</v>
      </c>
      <c r="B830" s="6" t="str">
        <f ca="1">IFERROR(__xludf.DUMMYFUNCTION("""COMPUTED_VALUE"""),"Извещатель пожарный автономный дымовой оптико-электронный. При обнаружении задымления извещатель формирует звуковые сигналы тревоги. IP 40")</f>
        <v>Извещатель пожарный автономный дымовой оптико-электронный. При обнаружении задымления извещатель формирует звуковые сигналы тревоги. IP 40</v>
      </c>
      <c r="C830" s="9">
        <f ca="1">IFERROR(__xludf.DUMMYFUNCTION("""COMPUTED_VALUE"""),561.44)</f>
        <v>561.44000000000005</v>
      </c>
      <c r="D830" s="6"/>
      <c r="E830" s="8"/>
    </row>
    <row r="831" spans="1:5" ht="89.25">
      <c r="A831" s="5" t="str">
        <f ca="1">IFERROR(__xludf.DUMMYFUNCTION("""COMPUTED_VALUE"""),"ИП 212-69/3М АЯКС (с возможностью объединения в шлейф)")</f>
        <v>ИП 212-69/3М АЯКС (с возможностью объединения в шлейф)</v>
      </c>
      <c r="B831" s="6" t="str">
        <f ca="1">IFERROR(__xludf.DUMMYFUNCTION("""COMPUTED_VALUE"""),"Извещатель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 Возможность объединения в шлейф до 40 шт")</f>
        <v>Извещатель пожарный автономный дымовой оптико-электронный в комплекте с АКБ. При обнаружении задымления извещатель формирует звуковые сигналы тревоги. IP 40. Возможность объединения в шлейф до 40 шт</v>
      </c>
      <c r="C831" s="9">
        <f ca="1">IFERROR(__xludf.DUMMYFUNCTION("""COMPUTED_VALUE"""),750.2)</f>
        <v>750.2</v>
      </c>
      <c r="D831" s="6"/>
      <c r="E831" s="8"/>
    </row>
    <row r="832" spans="1:5" ht="204">
      <c r="A832" s="5" t="str">
        <f ca="1">IFERROR(__xludf.DUMMYFUNCTION("""COMPUTED_VALUE"""),"МЕТКА АДРЕСНАЯ МА-1.0 исп.01 АТФЕ.426461.107 ТУ")</f>
        <v>МЕТКА АДРЕСНАЯ МА-1.0 исп.01 АТФЕ.426461.107 ТУ</v>
      </c>
      <c r="B832" s="6" t="str">
        <f ca="1">IFERROR(__xludf.DUMMYFUNCTION("""COMPUTED_VALUE"""),"Адресная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внешн"&amp;"его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01 (корпус красного цвета) – для устройств с нормально замкнутыми сухими контактами.")</f>
        <v>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01 (корпус красного цвета) – для устройств с нормально замкнутыми сухими контактами.</v>
      </c>
      <c r="C832" s="9">
        <f ca="1">IFERROR(__xludf.DUMMYFUNCTION("""COMPUTED_VALUE"""),529.474)</f>
        <v>529.47400000000005</v>
      </c>
      <c r="D832" s="6"/>
      <c r="E832" s="8"/>
    </row>
    <row r="833" spans="1:5" ht="204">
      <c r="A833" s="5" t="str">
        <f ca="1">IFERROR(__xludf.DUMMYFUNCTION("""COMPUTED_VALUE"""),"МЕТКА АДРЕСНАЯ МА-1.0 исп.02 АТФЕ.426461.107 ТУ")</f>
        <v>МЕТКА АДРЕСНАЯ МА-1.0 исп.02 АТФЕ.426461.107 ТУ</v>
      </c>
      <c r="B833" s="6" t="str">
        <f ca="1">IFERROR(__xludf.DUMMYFUNCTION("""COMPUTED_VALUE"""),"Адресная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внешн"&amp;"его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02 (корпус красно-зеленого цвета) – для устройств с нормально разомкнутыми сухими конт"&amp;"актами.")</f>
        <v>Адресная метка МА-1.0 является устройством с программируемым адресом и предназначена для расширения возможностей адресной системы "Планета". Применяется для подключения в шлейф неадресных извещателей с выходом типа "сухой контакт", питающихся от внешнего источника. Электропитание и обмен данными между Меткой и ППКП «АСПС Планета-4» и ППКП «Планета-АПКП-М» осуществляется по двухпроводному адресному шлейфу. Исполнение 02 (корпус красно-зеленого цвета) – для устройств с нормально разомкнутыми сухими контактами.</v>
      </c>
      <c r="C833" s="9">
        <f ca="1">IFERROR(__xludf.DUMMYFUNCTION("""COMPUTED_VALUE"""),529.474)</f>
        <v>529.47400000000005</v>
      </c>
      <c r="D833" s="6"/>
      <c r="E833" s="8"/>
    </row>
    <row r="834" spans="1:5" ht="63.75">
      <c r="A834" s="5" t="str">
        <f ca="1">IFERROR(__xludf.DUMMYFUNCTION("""COMPUTED_VALUE"""),"ИП 212-83 ТУ 4371–004–60552473–12")</f>
        <v>ИП 212-83 ТУ 4371–004–60552473–12</v>
      </c>
      <c r="B834" s="6" t="str">
        <f ca="1">IFERROR(__xludf.DUMMYFUNCTION("""COMPUTED_VALUE"""),"Извещатель пожарный дымовой оптико-электронный адресный. Предназначен для подключения в двухпроводный адресный шлейф «АСПС Планета-4» и ""Планета-АПКП-М"". IP 40")</f>
        <v>Извещатель пожарный дымовой оптико-электронный адресный. Предназначен для подключения в двухпроводный адресный шлейф «АСПС Планета-4» и "Планета-АПКП-М". IP 40</v>
      </c>
      <c r="C834" s="9">
        <f ca="1">IFERROR(__xludf.DUMMYFUNCTION("""COMPUTED_VALUE"""),1760)</f>
        <v>1760</v>
      </c>
      <c r="D834" s="6"/>
      <c r="E834" s="8"/>
    </row>
    <row r="835" spans="1:5" ht="293.25">
      <c r="A835" s="5" t="str">
        <f ca="1">IFERROR(__xludf.DUMMYFUNCTION("""COMPUTED_VALUE"""),"Планета-АК ТУ 4371 – 007 – 60552473 – 12")</f>
        <v>Планета-АК ТУ 4371 – 007 – 60552473 – 12</v>
      </c>
      <c r="B835" s="6" t="str">
        <f ca="1">IFERROR(__xludf.DUMMYFUNCTION("""COMPUTED_VALUE"""),"Адресный концентратор предназначен для расширения возможностей адресной системы пожарной сигнализации «Планета» при помощи подключения через него безадресных пожарных извещателей типа ИП212-69/1МР и ИПР513-9П. Это бывает целесообразно и экономично при охр"&amp;"ане больших по площади или длине помещений (ангары, коридоры и т.п.). Дополнительная логическая обработка сигналов от безадресных извещателей позволяет повысить помехозащищенность системы. АК включается в адресный шлейф адресного приемно-контрольного приб"&amp;"ора (АПКП) «Планета-АПКП-М» или «АСПС Планета-4». Для АПКП он является функционально таким же устройством, как и адресный извещатель. Совместно с АК на адресном шлейфе могут использоваться адресные пожарные извещатели системы «Планета» - ИП212-83 , ИПР513"&amp;"-9 и ИП101-34-А1.")</f>
        <v>Адресный концентратор предназначен для расширения возможностей адресной системы пожарной сигнализации «Планета» при помощи подключения через него безадресных пожарных извещателей типа ИП212-69/1МР и ИПР513-9П. Это бывает целесообразно и экономично при охране больших по площади или длине помещений (ангары, коридоры и т.п.). Дополнительная логическая обработка сигналов от безадресных извещателей позволяет повысить помехозащищенность системы. АК включается в адресный шлейф адресного приемно-контрольного прибора (АПКП) «Планета-АПКП-М» или «АСПС Планета-4». Для АПКП он является функционально таким же устройством, как и адресный извещатель. Совместно с АК на адресном шлейфе могут использоваться адресные пожарные извещатели системы «Планета» - ИП212-83 , ИПР513-9 и ИП101-34-А1.</v>
      </c>
      <c r="C835" s="9">
        <f ca="1">IFERROR(__xludf.DUMMYFUNCTION("""COMPUTED_VALUE"""),1478.202)</f>
        <v>1478.202</v>
      </c>
      <c r="D835" s="6"/>
      <c r="E835" s="8"/>
    </row>
    <row r="836" spans="1:5" ht="153">
      <c r="A836" s="5" t="str">
        <f ca="1">IFERROR(__xludf.DUMMYFUNCTION("""COMPUTED_VALUE"""),"Планета-АПКП-М ТУ 4371-002-60552473-12")</f>
        <v>Планета-АПКП-М ТУ 4371-002-60552473-12</v>
      </c>
      <c r="B836" s="6" t="str">
        <f ca="1">IFERROR(__xludf.DUMMYFUNCTION("""COMPUTED_VALUE"""),"Прибор предназначен для создания адресных систем пожарной сигнализации. ППКП используется совместно с адресными дымовыми пожарными извещателями ИП212-83 ИП101-34-А1, ИПР513-9, источником постоянного тока 24В и любым неадресным пожарным приемно-контрольным"&amp;" прибором, контролирующим пожарный шлейф по принципу изменения его сопротивления постоянному току.")</f>
        <v>Прибор предназначен для создания адресных систем пожарной сигнализации. ППКП используется совместно с адресными дымовыми пожарными извещателями ИП212-83 ИП101-34-А1, ИПР513-9, источником постоянного тока 24В и любым неадресным пожарным приемно-контрольным прибором, контролирующим пожарный шлейф по принципу изменения его сопротивления постоянному току.</v>
      </c>
      <c r="C836" s="9">
        <f ca="1">IFERROR(__xludf.DUMMYFUNCTION("""COMPUTED_VALUE"""),5358.045)</f>
        <v>5358.0450000000001</v>
      </c>
      <c r="D836" s="6"/>
      <c r="E836" s="8"/>
    </row>
    <row r="837" spans="1:5" ht="409.5">
      <c r="A837" s="5" t="str">
        <f ca="1">IFERROR(__xludf.DUMMYFUNCTION("""COMPUTED_VALUE"""),"АСПС Планета-4 ТУ 4371-010-60552473-12")</f>
        <v>АСПС Планета-4 ТУ 4371-010-60552473-12</v>
      </c>
      <c r="B837" s="6" t="str">
        <f ca="1">IFERROR(__xludf.DUMMYFUNCTION("""COMPUTED_VALUE"""),"ППКП предназначен для создания адресно-аналоговых систем пожарной сигнализации. Выпускается в промышленном исполнении (IP55, с гермовводами). 4 адресных шлейфа, к каждому из которых может быть подключено до 127 адресных извещателей: ИП212-83, ИП101-34-А1,"&amp;" а также адресных концентраторов ""Планета-АК"" и адресных меток ""МА-1.0"". Максимальное количество подключаемых адресных извещателей - 508 шт. Часы реального времени. 
 Журнал событий (1024 события). 5 функциональных реле (ПОЖАР1, ПОЖАР2, НЕИСПРАВНОСТЬ,"&amp;" СВЕТОВОЕ ОПОВЕЩЕНИЕ, ЗВУКОВОЕ ОПОВЕЩЕНИЕ), временные параметры которых могут быть скорректированы пользователем. Измерение собственного напряжения питания и напряжения питания адаптеров адресных шлейфов. 
 Определение перехода на питание от резервного ак"&amp;"кумулятора (возможна подстройка под источники питания различных производителей). Объединение извещателей в группы (до 8 групп). Задание типа извещателей. 
 Задание индивидуального описания извещателей (до 20 символов). Специальное программное обеспечение "&amp;"для быстрой настройки системы и мониторинга состояния (USB-интерфейс).")</f>
        <v>ППКП предназначен для создания адресно-аналоговых систем пожарной сигнализации. Выпускается в промышленном исполнении (IP55, с гермовводами). 4 адресных шлейфа, к каждому из которых может быть подключено до 127 адресных извещателей: ИП212-83, ИП101-34-А1, а также адресных концентраторов "Планета-АК" и адресных меток "МА-1.0". Максимальное количество подключаемых адресных извещателей - 508 шт. Часы реального времени. 
 Журнал событий (1024 события). 5 функциональных реле (ПОЖАР1, ПОЖАР2, НЕИСПРАВНОСТЬ, СВЕТОВОЕ ОПОВЕЩЕНИЕ, ЗВУКОВОЕ ОПОВЕЩЕНИЕ), временные параметры которых могут быть скорректированы пользователем. Измерение собственного напряжения питания и напряжения питания адаптеров адресных шлейфов. 
 Определение перехода на питание от резервного аккумулятора (возможна подстройка под источники питания различных производителей). Объединение извещателей в группы (до 8 групп). Задание типа извещателей. 
 Задание индивидуального описания извещателей (до 20 символов). Специальное программное обеспечение для быстрой настройки системы и мониторинга состояния (USB-интерфейс).</v>
      </c>
      <c r="C837" s="9">
        <f ca="1">IFERROR(__xludf.DUMMYFUNCTION("""COMPUTED_VALUE"""),16628.535)</f>
        <v>16628.535</v>
      </c>
      <c r="D837" s="6"/>
      <c r="E837" s="8"/>
    </row>
    <row r="838" spans="1:5" ht="114.75">
      <c r="A838" s="5" t="str">
        <f ca="1">IFERROR(__xludf.DUMMYFUNCTION("""COMPUTED_VALUE"""),"РК 1000")</f>
        <v>РК 1000</v>
      </c>
      <c r="B838" s="6" t="str">
        <f ca="1">IFERROR(__xludf.DUMMYFUNCTION("""COMPUTED_VALUE"""),"НР, коммутируемая мощность 10 Вт, коммутируемое напряжение 100В, коммутируемый/пропускаемый ток 0,5/0,5 А, МДС срабатывания 7…40 А, МДС отпускания 3А, коэффициент возврата 0,35-0,9, сопротивление контакта 0,15 Ом, время срабатывания 0,5 мс, время отпускан"&amp;"ия 0,3 мс, масса 0,19 г, диапазон раб.темп. -60..+110. *")</f>
        <v>НР, коммутируемая мощность 10 Вт, коммутируемое напряжение 100В, коммутируемый/пропускаемый ток 0,5/0,5 А, МДС срабатывания 7…40 А, МДС отпускания 3А, коэффициент возврата 0,35-0,9, сопротивление контакта 0,15 Ом, время срабатывания 0,5 мс, время отпускания 0,3 мс, масса 0,19 г, диапазон раб.темп. -60..+110. *</v>
      </c>
      <c r="C838" s="9">
        <f ca="1">IFERROR(__xludf.DUMMYFUNCTION("""COMPUTED_VALUE"""),47.355)</f>
        <v>47.354999999999997</v>
      </c>
      <c r="D838" s="6"/>
      <c r="E838" s="8"/>
    </row>
    <row r="839" spans="1:5" ht="114.75">
      <c r="A839" s="5" t="str">
        <f ca="1">IFERROR(__xludf.DUMMYFUNCTION("""COMPUTED_VALUE"""),"РК 1400")</f>
        <v>РК 1400</v>
      </c>
      <c r="B839" s="6" t="str">
        <f ca="1">IFERROR(__xludf.DUMMYFUNCTION("""COMPUTED_VALUE"""),"НР, коммутируемая мощность 10 Вт, коммутируемое напряжение 200В, коммутируемый/пропускаемый ток 0,5/0,5 А, МДС срабатывания 8…35 А, МДС отпускания 4А, коэффициент возврата 0,35-0,9, сопротивление контакта 0,1 Ом, время срабатывания 1 мс, время отпускания "&amp;"0,4 мс, масса 0,25 г, диапазон раб.темп. -60..+110. *")</f>
        <v>НР, коммутируемая мощность 10 Вт, коммутируемое напряжение 200В, коммутируемый/пропускаемый ток 0,5/0,5 А, МДС срабатывания 8…35 А, МДС отпускания 4А, коэффициент возврата 0,35-0,9, сопротивление контакта 0,1 Ом, время срабатывания 1 мс, время отпускания 0,4 мс, масса 0,25 г, диапазон раб.темп. -60..+110. *</v>
      </c>
      <c r="C839" s="9">
        <f ca="1">IFERROR(__xludf.DUMMYFUNCTION("""COMPUTED_VALUE"""),47.355)</f>
        <v>47.354999999999997</v>
      </c>
      <c r="D839" s="6"/>
      <c r="E839" s="8"/>
    </row>
    <row r="840" spans="1:5" ht="114.75">
      <c r="A840" s="5" t="str">
        <f ca="1">IFERROR(__xludf.DUMMYFUNCTION("""COMPUTED_VALUE"""),"РК 2000")</f>
        <v>РК 2000</v>
      </c>
      <c r="B840" s="6" t="str">
        <f ca="1">IFERROR(__xludf.DUMMYFUNCTION("""COMPUTED_VALUE"""),"НР, коммутируемая мощность 10 Вт, коммутируемое напряжение 180 В, коммутируемый/пропускаемый ток 0,5/0,5 А, МДС срабатывания 10…42 А, МДС отпускания 4А, коэффициент возврата 0,35-0,9, сопротивление контакта 0,15 Ом, время срабатывания 1 мс, время отпускан"&amp;"ия 0,3 мс, масса 0,5 г, диапазон раб.темп. -60..+110. *")</f>
        <v>НР, коммутируемая мощность 10 Вт, коммутируемое напряжение 180 В, коммутируемый/пропускаемый ток 0,5/0,5 А, МДС срабатывания 10…42 А, МДС отпускания 4А, коэффициент возврата 0,35-0,9, сопротивление контакта 0,15 Ом, время срабатывания 1 мс, время отпускания 0,3 мс, масса 0,5 г, диапазон раб.темп. -60..+110. *</v>
      </c>
      <c r="C840" s="9">
        <f ca="1">IFERROR(__xludf.DUMMYFUNCTION("""COMPUTED_VALUE"""),47.355)</f>
        <v>47.354999999999997</v>
      </c>
      <c r="D840" s="6"/>
      <c r="E840" s="8"/>
    </row>
    <row r="841" spans="1:5" ht="191.25">
      <c r="A841" s="5" t="str">
        <f ca="1">IFERROR(__xludf.DUMMYFUNCTION("""COMPUTED_VALUE"""),"DN15A")</f>
        <v>DN15A</v>
      </c>
      <c r="B841" s="6" t="str">
        <f ca="1">IFERROR(__xludf.DUMMYFUNCTION("""COMPUTED_VALUE"""),"Перекрываемый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"&amp;"Тип взрывозащиты: герметичное литье. Максимальное давление: 
 50 кПа 10. Длина выхода: 0.4 метра Соединение: G1/2"" (DN15A). Закрытие клапана: под действием постоянного тока/ручное. Открытие клапана: ручное восстановление позиции")</f>
        <v>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Тип взрывозащиты: герметичное литье. Максимальное давление: 
 50 кПа 10. Длина выхода: 0.4 метра Соединение: G1/2" (DN15A). Закрытие клапана: под действием постоянного тока/ручное. Открытие клапана: ручное восстановление позиции</v>
      </c>
      <c r="C841" s="9">
        <f ca="1">IFERROR(__xludf.DUMMYFUNCTION("""COMPUTED_VALUE"""),1662.815)</f>
        <v>1662.8150000000001</v>
      </c>
      <c r="D841" s="6"/>
      <c r="E841" s="8"/>
    </row>
    <row r="842" spans="1:5" ht="191.25">
      <c r="A842" s="5" t="str">
        <f ca="1">IFERROR(__xludf.DUMMYFUNCTION("""COMPUTED_VALUE"""),"DN20A")</f>
        <v>DN20A</v>
      </c>
      <c r="B842" s="6" t="str">
        <f ca="1">IFERROR(__xludf.DUMMYFUNCTION("""COMPUTED_VALUE"""),"Перекрываемый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"&amp;"Тип взрывозащиты: герметичное литье. Максимальное давление: 
 50 кПа 10. Длина выхода: 0.4 метра Соединение: G3/4"" (DN20A). Закрытие клапана: под действием постоянного тока/ручное. Открытие клапана: ручное восстановление позиции")</f>
        <v>Перекрываемый газ: природный газ, сжиженный газ, метан. Коммутируемое напряжение: 9В -12В
 Материал газового клапана: медный сплав. Ток: 1.5А Герметизирующий материал: каучук. Время отключения клапана: меньше 1 секунды. Диапазон температур: от -10 до +50 Тип взрывозащиты: герметичное литье. Максимальное давление: 
 50 кПа 10. Длина выхода: 0.4 метра Соединение: G3/4" (DN20A). Закрытие клапана: под действием постоянного тока/ручное. Открытие клапана: ручное восстановление позиции</v>
      </c>
      <c r="C842" s="9">
        <f ca="1">IFERROR(__xludf.DUMMYFUNCTION("""COMPUTED_VALUE"""),1847.615)</f>
        <v>1847.615</v>
      </c>
      <c r="D842" s="6"/>
      <c r="E842" s="8"/>
    </row>
    <row r="843" spans="1:5" ht="25.5">
      <c r="A843" s="5" t="str">
        <f ca="1">IFERROR(__xludf.DUMMYFUNCTION("""COMPUTED_VALUE"""),"Блок пусковой для электромагнитного клапана")</f>
        <v>Блок пусковой для электромагнитного клапана</v>
      </c>
      <c r="B843" s="6" t="str">
        <f ca="1">IFERROR(__xludf.DUMMYFUNCTION("""COMPUTED_VALUE"""),"Блок пусковой для электромагнитного клапана")</f>
        <v>Блок пусковой для электромагнитного клапана</v>
      </c>
      <c r="C843" s="9">
        <f ca="1">IFERROR(__xludf.DUMMYFUNCTION("""COMPUTED_VALUE"""),554.213)</f>
        <v>554.21299999999997</v>
      </c>
      <c r="D843" s="6"/>
      <c r="E843" s="8"/>
    </row>
    <row r="844" spans="1:5" ht="165.75">
      <c r="A844" s="5" t="str">
        <f ca="1">IFERROR(__xludf.DUMMYFUNCTION("""COMPUTED_VALUE"""),"ARTOL-Т4014 АТФЕ.425119.072 ТУ (только датчик)")</f>
        <v>ARTOL-Т4014 АТФЕ.425119.072 ТУ (только датчик)</v>
      </c>
      <c r="B844" s="6" t="str">
        <f ca="1">IFERROR(__xludf.DUMMYFUNCTION("""COMPUTED_VALUE"""),"Степень защиты оболочки: IP68 по ГОСТ 14254-96
 Температура окружающей среды: от -50°С до +125°С
 Коммутируемая мощность не более: 10 Вт
 Коммутируемые: напряжение – 200 В; ток – 1 А 
 Контакты датчика: 
 – замыкаются 11 мм и менее, 
 – размыкаются 16 мм "&amp;"и более
 Цвет корпуса: белый на 125ºС, силиконовый провод 3000 мм")</f>
        <v>Степень защиты оболочки: IP68 по ГОСТ 14254-96
 Температура окружающей среды: от -50°С до +125°С
 Коммутируемая мощность не более: 10 Вт
 Коммутируемые: напряжение – 200 В; ток – 1 А 
 Контакты датчика: 
 – замыкаются 11 мм и менее, 
 – размыкаются 16 мм и более
 Цвет корпуса: белый на 125ºС, силиконовый провод 3000 мм</v>
      </c>
      <c r="C844" s="9">
        <f ca="1">IFERROR(__xludf.DUMMYFUNCTION("""COMPUTED_VALUE"""),1039.9389)</f>
        <v>1039.9389000000001</v>
      </c>
      <c r="D844" s="6"/>
      <c r="E844" s="8"/>
    </row>
    <row r="845" spans="1:5" ht="165.75">
      <c r="A845" s="5" t="str">
        <f ca="1">IFERROR(__xludf.DUMMYFUNCTION("""COMPUTED_VALUE"""),"ARTOL-3 014 (датчик + магнит М-025) АТФЕ.425119.072 ТУ")</f>
        <v>ARTOL-3 014 (датчик + магнит М-025) АТФЕ.425119.072 ТУ</v>
      </c>
      <c r="B845"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45" s="9">
        <f ca="1">IFERROR(__xludf.DUMMYFUNCTION("""COMPUTED_VALUE"""),509.73615)</f>
        <v>509.73615000000001</v>
      </c>
      <c r="D845" s="6"/>
      <c r="E845" s="8"/>
    </row>
    <row r="846" spans="1:5" ht="165.75">
      <c r="A846" s="5" t="str">
        <f ca="1">IFERROR(__xludf.DUMMYFUNCTION("""COMPUTED_VALUE"""),"ARTOL-3 014 (датчик + магнит М-020) АТФЕ.425119.072 ТУ")</f>
        <v>ARTOL-3 014 (датчик + магнит М-020) АТФЕ.425119.072 ТУ</v>
      </c>
      <c r="B846"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46" s="9">
        <f ca="1">IFERROR(__xludf.DUMMYFUNCTION("""COMPUTED_VALUE"""),430.7688)</f>
        <v>430.7688</v>
      </c>
      <c r="D846" s="6"/>
      <c r="E846" s="8"/>
    </row>
    <row r="847" spans="1:5" ht="165.75">
      <c r="A847" s="5" t="str">
        <f ca="1">IFERROR(__xludf.DUMMYFUNCTION("""COMPUTED_VALUE"""),"ARTOL-3 229 (датчик + магнит М-025) АТФЕ.425119.072 ТУ")</f>
        <v>ARTOL-3 229 (датчик + магнит М-025) АТФЕ.425119.072 ТУ</v>
      </c>
      <c r="B847"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47" s="9">
        <f ca="1">IFERROR(__xludf.DUMMYFUNCTION("""COMPUTED_VALUE"""),681.3114)</f>
        <v>681.31140000000005</v>
      </c>
      <c r="D847" s="6"/>
      <c r="E847" s="8"/>
    </row>
    <row r="848" spans="1:5" ht="165.75">
      <c r="A848" s="5" t="str">
        <f ca="1">IFERROR(__xludf.DUMMYFUNCTION("""COMPUTED_VALUE"""),"ARTOL-3 229 (датчик + магнит М-020) АТФЕ.425119.072 ТУ")</f>
        <v>ARTOL-3 229 (датчик + магнит М-020) АТФЕ.425119.072 ТУ</v>
      </c>
      <c r="B848"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48" s="9">
        <f ca="1">IFERROR(__xludf.DUMMYFUNCTION("""COMPUTED_VALUE"""),602.6328)</f>
        <v>602.63279999999997</v>
      </c>
      <c r="D848" s="6"/>
      <c r="E848" s="8"/>
    </row>
    <row r="849" spans="1:5" ht="165.75">
      <c r="A849" s="5" t="str">
        <f ca="1">IFERROR(__xludf.DUMMYFUNCTION("""COMPUTED_VALUE"""),"ARTOL-3 324 (датчик + магнит М-025) АТФЕ.425119.072 ТУ")</f>
        <v>ARTOL-3 324 (датчик + магнит М-025) АТФЕ.425119.072 ТУ</v>
      </c>
      <c r="B849" s="6" t="str">
        <f ca="1">IFERROR(__xludf.DUMMYFUNCTION("""COMPUTED_VALUE"""),"Степень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 более
 Основной цвет корпуса: черный или белый</v>
      </c>
      <c r="C849" s="9">
        <f ca="1">IFERROR(__xludf.DUMMYFUNCTION("""COMPUTED_VALUE"""),509.73615)</f>
        <v>509.73615000000001</v>
      </c>
      <c r="D849" s="6"/>
      <c r="E849" s="8"/>
    </row>
    <row r="850" spans="1:5" ht="165.75">
      <c r="A850" s="5" t="str">
        <f ca="1">IFERROR(__xludf.DUMMYFUNCTION("""COMPUTED_VALUE"""),"ARTOL-3 324 (датчик + магнит М-020) АТФЕ.425119.072 ТУ")</f>
        <v>ARTOL-3 324 (датчик + магнит М-020) АТФЕ.425119.072 ТУ</v>
      </c>
      <c r="B850" s="6" t="str">
        <f ca="1">IFERROR(__xludf.DUMMYFUNCTION("""COMPUTED_VALUE"""),"Степень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более:10 Вт
 Коммутируемые: напряжение – 200 В; ток – 0,5 А 
 Контакты датчика: 
 – замыкаются 8 мм и менее, 
 – размыкаются 13 мм и более
 Основной цвет корпуса: черный или белый</v>
      </c>
      <c r="C850" s="9">
        <f ca="1">IFERROR(__xludf.DUMMYFUNCTION("""COMPUTED_VALUE"""),430.7688)</f>
        <v>430.7688</v>
      </c>
      <c r="D850" s="6"/>
      <c r="E850" s="8"/>
    </row>
    <row r="851" spans="1:5" ht="191.25">
      <c r="A851" s="5" t="str">
        <f ca="1">IFERROR(__xludf.DUMMYFUNCTION("""COMPUTED_VALUE"""),"ARTOL-3Р 003 (датчик + магнит М-025) АТФЕ.425119.072 ТУ")</f>
        <v>ARTOL-3Р 003 (датчик + магнит М-025) АТФЕ.425119.072 ТУ</v>
      </c>
      <c r="B851" s="6" t="str">
        <f ca="1">IFERROR(__xludf.DUMMYFUNCTION("""COMPUTED_VALUE"""),"Степень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воз"&amp;"врат обратно на расстоянии 6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возврат обратно на расстоянии 6 мм и более
 Основной цвет корпуса: черный или белый</v>
      </c>
      <c r="C851" s="9">
        <f ca="1">IFERROR(__xludf.DUMMYFUNCTION("""COMPUTED_VALUE"""),863.90535)</f>
        <v>863.90535</v>
      </c>
      <c r="D851" s="6"/>
      <c r="E851" s="8"/>
    </row>
    <row r="852" spans="1:5" ht="191.25">
      <c r="A852" s="5" t="str">
        <f ca="1">IFERROR(__xludf.DUMMYFUNCTION("""COMPUTED_VALUE"""),"ARTOL-3Р 003 (датчик + магнит М-020) АТФЕ.425119.072 ТУ")</f>
        <v>ARTOL-3Р 003 (датчик + магнит М-020) АТФЕ.425119.072 ТУ</v>
      </c>
      <c r="B852" s="6" t="str">
        <f ca="1">IFERROR(__xludf.DUMMYFUNCTION("""COMPUTED_VALUE"""),"Степень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воз"&amp;"врат обратно на расстоянии 6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30 Вт
 Коммутируемые: напряжение – 127 В; ток – 1 А 
 Контакты датчика: 
 – переключаются на расстоянии 3 мм и менее, 
 – возврат обратно на расстоянии 6 мм и более
 Основной цвет корпуса: черный или белый</v>
      </c>
      <c r="C852" s="9">
        <f ca="1">IFERROR(__xludf.DUMMYFUNCTION("""COMPUTED_VALUE"""),835.7349)</f>
        <v>835.73490000000004</v>
      </c>
      <c r="D852" s="6"/>
      <c r="E852" s="8"/>
    </row>
    <row r="853" spans="1:5" ht="191.25">
      <c r="A853" s="5" t="str">
        <f ca="1">IFERROR(__xludf.DUMMYFUNCTION("""COMPUTED_VALUE"""),"ARTOL-3Р 551 (датчик + магнит М-025) АТФЕ.425119.072 ТУ")</f>
        <v>ARTOL-3Р 551 (датчик + магнит М-025) АТФЕ.425119.072 ТУ</v>
      </c>
      <c r="B853"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53" s="9">
        <f ca="1">IFERROR(__xludf.DUMMYFUNCTION("""COMPUTED_VALUE"""),970.1769)</f>
        <v>970.17690000000005</v>
      </c>
      <c r="D853" s="6"/>
      <c r="E853" s="8"/>
    </row>
    <row r="854" spans="1:5" ht="191.25">
      <c r="A854" s="5" t="str">
        <f ca="1">IFERROR(__xludf.DUMMYFUNCTION("""COMPUTED_VALUE"""),"ARTOL-3Р 551 (датчик + магнит М-020) АТФЕ.425119.072 ТУ")</f>
        <v>ARTOL-3Р 551 (датчик + магнит М-020) АТФЕ.425119.072 ТУ</v>
      </c>
      <c r="B854"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54" s="9">
        <f ca="1">IFERROR(__xludf.DUMMYFUNCTION("""COMPUTED_VALUE"""),812.48475)</f>
        <v>812.48474999999996</v>
      </c>
      <c r="D854" s="6"/>
      <c r="E854" s="8"/>
    </row>
    <row r="855" spans="1:5" ht="165.75">
      <c r="A855" s="5" t="str">
        <f ca="1">IFERROR(__xludf.DUMMYFUNCTION("""COMPUTED_VALUE"""),"ARTOL-4 014 (датчик + магнит М-025) АТФЕ.425119.072 ТУ")</f>
        <v>ARTOL-4 014 (датчик + магнит М-025) АТФЕ.425119.072 ТУ</v>
      </c>
      <c r="B855"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55" s="9">
        <f ca="1">IFERROR(__xludf.DUMMYFUNCTION("""COMPUTED_VALUE"""),504.7119)</f>
        <v>504.71190000000001</v>
      </c>
      <c r="D855" s="6"/>
      <c r="E855" s="8"/>
    </row>
    <row r="856" spans="1:5" ht="165.75">
      <c r="A856" s="5" t="str">
        <f ca="1">IFERROR(__xludf.DUMMYFUNCTION("""COMPUTED_VALUE"""),"ARTOL-4 014 (датчик + магнит М-020) АТФЕ.425119.072 ТУ")</f>
        <v>ARTOL-4 014 (датчик + магнит М-020) АТФЕ.425119.072 ТУ</v>
      </c>
      <c r="B856"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и"&amp;"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1 А 
 Контакты датчика: 
 – замыкаются 11 мм и менее, 
 – размыкаются 16 мм и более
 Основной цвет корпуса: черный или белый</v>
      </c>
      <c r="C856" s="9">
        <f ca="1">IFERROR(__xludf.DUMMYFUNCTION("""COMPUTED_VALUE"""),425.6868)</f>
        <v>425.68680000000001</v>
      </c>
      <c r="D856" s="6"/>
      <c r="E856" s="8"/>
    </row>
    <row r="857" spans="1:5" ht="165.75">
      <c r="A857" s="5" t="str">
        <f ca="1">IFERROR(__xludf.DUMMYFUNCTION("""COMPUTED_VALUE"""),"ARTOL-4 229 (датчик + магнит М-025) АТФЕ.425119.072 ТУ")</f>
        <v>ARTOL-4 229 (датчик + магнит М-025) АТФЕ.425119.072 ТУ</v>
      </c>
      <c r="B857"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57" s="9">
        <f ca="1">IFERROR(__xludf.DUMMYFUNCTION("""COMPUTED_VALUE"""),680.21415)</f>
        <v>680.21415000000002</v>
      </c>
      <c r="D857" s="6"/>
      <c r="E857" s="8"/>
    </row>
    <row r="858" spans="1:5" ht="165.75">
      <c r="A858" s="5" t="str">
        <f ca="1">IFERROR(__xludf.DUMMYFUNCTION("""COMPUTED_VALUE"""),"ARTOL-4 229 (датчик + магнит М-020) АТФЕ.425119.072 ТУ")</f>
        <v>ARTOL-4 229 (датчик + магнит М-020) АТФЕ.425119.072 ТУ</v>
      </c>
      <c r="B858" s="6" t="str">
        <f ca="1">IFERROR(__xludf.DUMMYFUNCTION("""COMPUTED_VALUE"""),"Степень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50 Вт
 Коммутируемые: напряжение – 300 В; ток – 0,5 А 
 Контакты датчика: 
 – замыкаются 6 мм и менее, 
 – размыкаются 10 мм и более
 Основной цвет корпуса: черный или белый</v>
      </c>
      <c r="C858" s="9">
        <f ca="1">IFERROR(__xludf.DUMMYFUNCTION("""COMPUTED_VALUE"""),601.7319)</f>
        <v>601.7319</v>
      </c>
      <c r="D858" s="6"/>
      <c r="E858" s="8"/>
    </row>
    <row r="859" spans="1:5" ht="165.75">
      <c r="A859" s="5" t="str">
        <f ca="1">IFERROR(__xludf.DUMMYFUNCTION("""COMPUTED_VALUE"""),"ARTOL-4 324 (датчик + магнит М-025) АТФЕ.425119.072 ТУ")</f>
        <v>ARTOL-4 324 (датчик + магнит М-025) АТФЕ.425119.072 ТУ</v>
      </c>
      <c r="B859"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и более
 Основной цвет корпуса: черный или белый</v>
      </c>
      <c r="C859" s="9">
        <f ca="1">IFERROR(__xludf.DUMMYFUNCTION("""COMPUTED_VALUE"""),567.76335)</f>
        <v>567.76334999999995</v>
      </c>
      <c r="D859" s="6"/>
      <c r="E859" s="8"/>
    </row>
    <row r="860" spans="1:5" ht="165.75">
      <c r="A860" s="5" t="str">
        <f ca="1">IFERROR(__xludf.DUMMYFUNCTION("""COMPUTED_VALUE"""),"ARTOL-4 324 (датчик + магнит М-020) АТФЕ.425119.072 ТУ")</f>
        <v>ARTOL-4 324 (датчик + магнит М-020) АТФЕ.425119.072 ТУ</v>
      </c>
      <c r="B860"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"&amp;"и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замыкаются 8 мм и менее, 
 – размыкаются 13 мм и более
 Основной цвет корпуса: черный или белый</v>
      </c>
      <c r="C860" s="9">
        <f ca="1">IFERROR(__xludf.DUMMYFUNCTION("""COMPUTED_VALUE"""),526.87635)</f>
        <v>526.87635</v>
      </c>
      <c r="D860" s="6"/>
      <c r="E860" s="8"/>
    </row>
    <row r="861" spans="1:5" ht="191.25">
      <c r="A861" s="5" t="str">
        <f ca="1">IFERROR(__xludf.DUMMYFUNCTION("""COMPUTED_VALUE"""),"ARTOL-4Р 551 (датчик + магнит М-025) АТФЕ.425119.072 ТУ")</f>
        <v>ARTOL-4Р 551 (датчик + магнит М-025) АТФЕ.425119.072 ТУ</v>
      </c>
      <c r="B861"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61" s="9">
        <f ca="1">IFERROR(__xludf.DUMMYFUNCTION("""COMPUTED_VALUE"""),1069.37985)</f>
        <v>1069.37985</v>
      </c>
      <c r="D861" s="6"/>
      <c r="E861" s="8"/>
    </row>
    <row r="862" spans="1:5" ht="191.25">
      <c r="A862" s="5" t="str">
        <f ca="1">IFERROR(__xludf.DUMMYFUNCTION("""COMPUTED_VALUE"""),"ARTOL-4Р 551 (датчик + магнит М-020) АТФЕ.425119.072 ТУ")</f>
        <v>ARTOL-4Р 551 (датчик + магнит М-020) АТФЕ.425119.072 ТУ</v>
      </c>
      <c r="B862" s="6" t="str">
        <f ca="1">IFERROR(__xludf.DUMMYFUNCTION("""COMPUTED_VALUE"""),"Степень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в"&amp;"озврат обратно на расстоянии 12 мм и более
 Основной цвет корпуса: черный или белый")</f>
        <v>Степень защиты оболочки: IP68 по ГОСТ 14254-96
 Температура окружающей среды: от -50°С до +85°С
 Коммутируемая мощность не более: 10 Вт
 Коммутируемые: напряжение – 200 В; ток – 0,5 А 
 Контакты датчика: 
 – переключаются на расстоянии 8 мм и менее, 
 – возврат обратно на расстоянии 12 мм и более
 Основной цвет корпуса: черный или белый</v>
      </c>
      <c r="C862" s="9">
        <f ca="1">IFERROR(__xludf.DUMMYFUNCTION("""COMPUTED_VALUE"""),1057.39095)</f>
        <v>1057.39095</v>
      </c>
      <c r="D862" s="6"/>
      <c r="E862" s="8"/>
    </row>
    <row r="863" spans="1:5" ht="25.5">
      <c r="A863" s="5" t="str">
        <f ca="1">IFERROR(__xludf.DUMMYFUNCTION("""COMPUTED_VALUE"""),"Магнит М-020 АТФЕ.425119.072ТУ")</f>
        <v>Магнит М-020 АТФЕ.425119.072ТУ</v>
      </c>
      <c r="B863" s="6" t="str">
        <f ca="1">IFERROR(__xludf.DUMMYFUNCTION("""COMPUTED_VALUE"""),"магнит к датчикам ARTOL-4, ARTOL-3, МКМ-250-NO «ARTOL»")</f>
        <v>магнит к датчикам ARTOL-4, ARTOL-3, МКМ-250-NO «ARTOL»</v>
      </c>
      <c r="C863" s="9">
        <f ca="1">IFERROR(__xludf.DUMMYFUNCTION("""COMPUTED_VALUE"""),129.71805)</f>
        <v>129.71805000000001</v>
      </c>
      <c r="D863" s="6"/>
      <c r="E863" s="8"/>
    </row>
    <row r="864" spans="1:5" ht="25.5">
      <c r="A864" s="5" t="str">
        <f ca="1">IFERROR(__xludf.DUMMYFUNCTION("""COMPUTED_VALUE"""),"Магнит М-025 АТФЕ.425119.072ТУ")</f>
        <v>Магнит М-025 АТФЕ.425119.072ТУ</v>
      </c>
      <c r="B864" s="6" t="str">
        <f ca="1">IFERROR(__xludf.DUMMYFUNCTION("""COMPUTED_VALUE"""),"магнит к датчикам ARTOL-4, ARTOL-3, МКМ-250-NO «ARTOL»")</f>
        <v>магнит к датчикам ARTOL-4, ARTOL-3, МКМ-250-NO «ARTOL»</v>
      </c>
      <c r="C864" s="9">
        <f ca="1">IFERROR(__xludf.DUMMYFUNCTION("""COMPUTED_VALUE"""),170.7783)</f>
        <v>170.7783</v>
      </c>
      <c r="D864" s="6"/>
      <c r="E864" s="8"/>
    </row>
    <row r="865" spans="1:5" ht="25.5">
      <c r="A865" s="5" t="str">
        <f ca="1">IFERROR(__xludf.DUMMYFUNCTION("""COMPUTED_VALUE"""),"ARTOL-400 исп.00 (датчик) АТФЕ.425119.073 ПС")</f>
        <v>ARTOL-400 исп.00 (датчик) АТФЕ.425119.073 ПС</v>
      </c>
      <c r="B865" s="6" t="str">
        <f ca="1">IFERROR(__xludf.DUMMYFUNCTION("""COMPUTED_VALUE"""),"Корпус изготовлен из нержавейки 12х18Н10Т ГОСТ 19904-90. НР")</f>
        <v>Корпус изготовлен из нержавейки 12х18Н10Т ГОСТ 19904-90. НР</v>
      </c>
      <c r="C865" s="9">
        <f ca="1">IFERROR(__xludf.DUMMYFUNCTION("""COMPUTED_VALUE"""),695.8413)</f>
        <v>695.84130000000005</v>
      </c>
      <c r="D865" s="6"/>
      <c r="E865" s="8"/>
    </row>
    <row r="866" spans="1:5" ht="38.25">
      <c r="A866" s="5" t="str">
        <f ca="1">IFERROR(__xludf.DUMMYFUNCTION("""COMPUTED_VALUE"""),"ARTOL-400 исп.01 (датчик) АТФЕ.425119.073 ПС")</f>
        <v>ARTOL-400 исп.01 (датчик) АТФЕ.425119.073 ПС</v>
      </c>
      <c r="B866" s="6" t="str">
        <f ca="1">IFERROR(__xludf.DUMMYFUNCTION("""COMPUTED_VALUE"""),"Корпус изготовлен из нержавейки 12х18Н10Т ГОСТ 19904-90. Переключающий геркон")</f>
        <v>Корпус изготовлен из нержавейки 12х18Н10Т ГОСТ 19904-90. Переключающий геркон</v>
      </c>
      <c r="C866" s="9">
        <f ca="1">IFERROR(__xludf.DUMMYFUNCTION("""COMPUTED_VALUE"""),996.33765)</f>
        <v>996.33765000000005</v>
      </c>
      <c r="D866" s="6"/>
      <c r="E866" s="8"/>
    </row>
    <row r="867" spans="1:5" ht="12.75">
      <c r="A867" s="5" t="str">
        <f ca="1">IFERROR(__xludf.DUMMYFUNCTION("""COMPUTED_VALUE"""),"Магнит М4100, М4200, М4300 АТФЕ.425119.073 ПС")</f>
        <v>Магнит М4100, М4200, М4300 АТФЕ.425119.073 ПС</v>
      </c>
      <c r="B867" s="6" t="str">
        <f ca="1">IFERROR(__xludf.DUMMYFUNCTION("""COMPUTED_VALUE"""),"Магниты к датчикам ARTOL-400")</f>
        <v>Магниты к датчикам ARTOL-400</v>
      </c>
      <c r="C867" s="9">
        <f ca="1">IFERROR(__xludf.DUMMYFUNCTION("""COMPUTED_VALUE"""),381.53115)</f>
        <v>381.53115000000003</v>
      </c>
      <c r="D867" s="6"/>
      <c r="E867" s="8"/>
    </row>
    <row r="868" spans="1:5" ht="127.5">
      <c r="A868" s="5" t="str">
        <f ca="1">IFERROR(__xludf.DUMMYFUNCTION("""COMPUTED_VALUE"""),"Датчик положения магнитогерконовый МКМ-250-NO «ARTOL» IP68 (датчик без магнита) АТФЕ.425119.071 ТУ")</f>
        <v>Датчик положения магнитогерконовый МКМ-250-NO «ARTOL» IP68 (датчик без магнита) АТФЕ.425119.071 ТУ</v>
      </c>
      <c r="B868" s="6" t="str">
        <f ca="1">IFERROR(__xludf.DUMMYFUNCTION("""COMPUTED_VALUE"""),"Предназначен для работы только в цепях переменного тока 50/60 Гц! Температура окружающей среды -от - 50°С до +85°С
 Коммутируемая полная мощность не более -500 ВА (активная, индуктивная нагрузка)
 Коммутируемое напряжение - 24 --- 250 В 50/60Гц
 Диапазон "&amp;"коммутируемых токов - 0,01 --- 3А")</f>
        <v>Предназначен для работы только в цепях переменного тока 50/60 Гц! Температура окружающей среды -от - 50°С до +85°С
 Коммутируемая полная мощность не более -500 ВА (активная, индуктивная нагрузка)
 Коммутируемое напряжение - 24 --- 250 В 50/60Гц
 Диапазон коммутируемых токов - 0,01 --- 3А</v>
      </c>
      <c r="C868" s="9">
        <f ca="1">IFERROR(__xludf.DUMMYFUNCTION("""COMPUTED_VALUE"""),2442)</f>
        <v>2442</v>
      </c>
      <c r="D868" s="6"/>
      <c r="E868" s="8"/>
    </row>
    <row r="869" spans="1:5" ht="191.25">
      <c r="A869" s="5" t="str">
        <f ca="1">IFERROR(__xludf.DUMMYFUNCTION("""COMPUTED_VALUE"""),"МКМ-250-NO ARTOL
 с магнитом М-020 АТФЕ.425119.071 ТУ")</f>
        <v>МКМ-250-NO ARTOL
 с магнитом М-020 АТФЕ.425119.071 ТУ</v>
      </c>
      <c r="B869" s="6" t="str">
        <f ca="1">IFERROR(__xludf.DUMMYFUNCTION("""COMPUTED_VALUE"""),"Степень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к"&amp;"орпуса: черный или белый
 Контакты датчика: - замыкаются на расстоянии 10 мм и менее, - размыкаются на расстоянии 15 мм и более.")</f>
        <v>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10 мм и менее, - размыкаются на расстоянии 15 мм и более.</v>
      </c>
      <c r="C869" s="9">
        <f ca="1">IFERROR(__xludf.DUMMYFUNCTION("""COMPUTED_VALUE"""),2596)</f>
        <v>2596</v>
      </c>
      <c r="D869" s="6"/>
      <c r="E869" s="8"/>
    </row>
    <row r="870" spans="1:5" ht="191.25">
      <c r="A870" s="5" t="str">
        <f ca="1">IFERROR(__xludf.DUMMYFUNCTION("""COMPUTED_VALUE"""),"МКМ-250-NO ARTOL
 с магнитом М-025 АТФЕ.425119.071 ТУ")</f>
        <v>МКМ-250-NO ARTOL
 с магнитом М-025 АТФЕ.425119.071 ТУ</v>
      </c>
      <c r="B870" s="6" t="str">
        <f ca="1">IFERROR(__xludf.DUMMYFUNCTION("""COMPUTED_VALUE"""),"Степень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ко"&amp;"рпуса: черный или белый
 Контакты датчика: - замыкаются на расстоянии 10 мм и менее,- размыкаются на расстоянии 15 мм и более.")</f>
        <v>Степень защиты оболочки - IP68 по ГОСТ 14254-96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10 мм и менее,- размыкаются на расстоянии 15 мм и более.</v>
      </c>
      <c r="C870" s="9">
        <f ca="1">IFERROR(__xludf.DUMMYFUNCTION("""COMPUTED_VALUE"""),3498)</f>
        <v>3498</v>
      </c>
      <c r="D870" s="6"/>
      <c r="E870" s="8"/>
    </row>
    <row r="871" spans="1:5" ht="38.25">
      <c r="A871" s="5" t="str">
        <f ca="1">IFERROR(__xludf.DUMMYFUNCTION("""COMPUTED_VALUE"""),"КМ-250-NO ""ARTOL"" (датчик без магнита ) АТФЕ.425119.071ТУ")</f>
        <v>КМ-250-NO "ARTOL" (датчик без магнита ) АТФЕ.425119.071ТУ</v>
      </c>
      <c r="B871" s="6" t="str">
        <f ca="1">IFERROR(__xludf.DUMMYFUNCTION("""COMPUTED_VALUE"""),"замкнут под действием магнита и разомкнут при прекращении действия магнита. Коммутация 220 В (500 Вт)")</f>
        <v>замкнут под действием магнита и разомкнут при прекращении действия магнита. Коммутация 220 В (500 Вт)</v>
      </c>
      <c r="C871" s="9">
        <f ca="1">IFERROR(__xludf.DUMMYFUNCTION("""COMPUTED_VALUE"""),3630)</f>
        <v>3630</v>
      </c>
      <c r="D871" s="6"/>
      <c r="E871" s="8"/>
    </row>
    <row r="872" spans="1:5" ht="51">
      <c r="A872" s="5" t="str">
        <f ca="1">IFERROR(__xludf.DUMMYFUNCTION("""COMPUTED_VALUE"""),"КМ-250-NС ""ARTOL"" (датчик без магнита) АТФЕ.425119.071ТУ")</f>
        <v>КМ-250-NС "ARTOL" (датчик без магнита) АТФЕ.425119.071ТУ</v>
      </c>
      <c r="B872" s="6" t="str">
        <f ca="1">IFERROR(__xludf.DUMMYFUNCTION("""COMPUTED_VALUE"""),"КМ-250-NС ""ARTOL"" разомкнут под действием магнита и замкнут при прекращении действия магнита. Коммутация 220 В (500 Вт)")</f>
        <v>КМ-250-NС "ARTOL" разомкнут под действием магнита и замкнут при прекращении действия магнита. Коммутация 220 В (500 Вт)</v>
      </c>
      <c r="C872" s="9">
        <f ca="1">IFERROR(__xludf.DUMMYFUNCTION("""COMPUTED_VALUE"""),4400)</f>
        <v>4400</v>
      </c>
      <c r="D872" s="6"/>
      <c r="E872" s="8"/>
    </row>
    <row r="873" spans="1:5" ht="140.25">
      <c r="A873" s="5" t="str">
        <f ca="1">IFERROR(__xludf.DUMMYFUNCTION("""COMPUTED_VALUE"""),"КМ-250-NO ""ARTOL"" (c магнитом М-030) АТФЕ.425119.071ТУ")</f>
        <v>КМ-250-NO "ARTOL" (c магнитом М-030) АТФЕ.425119.071ТУ</v>
      </c>
      <c r="B873" s="6" t="str">
        <f ca="1">IFERROR(__xludf.DUMMYFUNCTION("""COMPUTED_VALUE"""),"IP68,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"&amp;"- замыкаются на расстоянии 20 мм и менее, размыкаются на расстоянии 40 мм и более.")</f>
        <v>IP68, температура окружающей среды -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20 мм и менее, размыкаются на расстоянии 40 мм и более.</v>
      </c>
      <c r="C873" s="9">
        <f ca="1">IFERROR(__xludf.DUMMYFUNCTION("""COMPUTED_VALUE"""),5500)</f>
        <v>5500</v>
      </c>
      <c r="D873" s="6"/>
      <c r="E873" s="8"/>
    </row>
    <row r="874" spans="1:5" ht="153">
      <c r="A874" s="5" t="str">
        <f ca="1">IFERROR(__xludf.DUMMYFUNCTION("""COMPUTED_VALUE"""),"КМ-250-NO ""ARTOL"" (c магнитом М-025) АТФЕ.425119.071ТУ")</f>
        <v>КМ-250-NO "ARTOL" (c магнитом М-025) АТФЕ.425119.071ТУ</v>
      </c>
      <c r="B874" s="6" t="str">
        <f ca="1">IFERROR(__xludf.DUMMYFUNCTION("""COMPUTED_VALUE"""),"IP68, температура окружающей среды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"&amp;"замыкаются на расстоянии 13 мм и менее, размыкаются на расстоянии 35 мм и более.")</f>
        <v>IP68, температура окружающей среды -от минус 50°С до +85°С, коммутируемая мощность - 500 ВА (активная, индуктивная нагрузка)
 Коммутируемые: напряжение - 24 --- 250 В 50/60Гц
 ток 0,01 --- 3А 
 Основной цвет корпуса: черный или белый
 Контакты датчика: - замыкаются на расстоянии 13 мм и менее, размыкаются на расстоянии 35 мм и более.</v>
      </c>
      <c r="C874" s="9">
        <f ca="1">IFERROR(__xludf.DUMMYFUNCTION("""COMPUTED_VALUE"""),4180)</f>
        <v>4180</v>
      </c>
      <c r="D874" s="6"/>
      <c r="E874" s="8"/>
    </row>
    <row r="875" spans="1:5" ht="140.25">
      <c r="A875" s="5" t="str">
        <f ca="1">IFERROR(__xludf.DUMMYFUNCTION("""COMPUTED_VALUE"""),"КМ-250-NС ""ARTOL"" (c магнитом М-030) АТФЕ.425119.071ТУ")</f>
        <v>КМ-250-NС "ARTOL" (c магнитом М-030) АТФЕ.425119.071ТУ</v>
      </c>
      <c r="B875" s="6" t="str">
        <f ca="1">IFERROR(__xludf.DUMMYFUNCTION("""COMPUTED_VALUE"""),"IP68, температура окружающей среды - от минус 50°С до +85°С, коммутируемая мощность - 500 ВА (активная, индуктивная нагрузка),коммутируемые: напряжение - 24 --- 250 В 50/60Гц
  ток -0,01 --- 3А 
 Основной цвет корпуса: черный или белый
 Контакты датчика: "&amp;"- размыкаются на расстоянии 15 мм и менее, замыкаются на расстоянии 35 мм и более.")</f>
        <v>IP68, температура окружающей среды - от минус 50°С до +85°С, коммутируемая мощность - 500 ВА (активная, индуктивная нагрузка),коммутируемые: напряжение - 24 --- 250 В 50/60Гц
  ток -0,01 --- 3А 
 Основной цвет корпуса: черный или белый
 Контакты датчика: - размыкаются на расстоянии 15 мм и менее, замыкаются на расстоянии 35 мм и более.</v>
      </c>
      <c r="C875" s="9">
        <f ca="1">IFERROR(__xludf.DUMMYFUNCTION("""COMPUTED_VALUE"""),6160)</f>
        <v>6160</v>
      </c>
      <c r="D875" s="6"/>
      <c r="E875" s="8"/>
    </row>
    <row r="876" spans="1:5" ht="140.25">
      <c r="A876" s="5" t="str">
        <f ca="1">IFERROR(__xludf.DUMMYFUNCTION("""COMPUTED_VALUE"""),"КМ-250-NС ""ARTOL"" (c магнитом М-025) АТФЕ.425119.071ТУ")</f>
        <v>КМ-250-NС "ARTOL" (c магнитом М-025) АТФЕ.425119.071ТУ</v>
      </c>
      <c r="B876" s="6" t="str">
        <f ca="1">IFERROR(__xludf.DUMMYFUNCTION("""COMPUTED_VALUE"""),"IP68, температура окружающей среды - от минус 50°С до +85°С, коммутируемая мощность - 500 ВА (активная, индуктивная нагрузка), коммутируемые: напряжение - 24 --- 250 В 50/60Гц, ток - 0,01 --- 3А 
 Основной цвет корпуса: черный или белый
 Контакты датчика:"&amp;" - размыкаются на расстоянии 12 мм и менее, замыкаются на расстоянии 15 мм и более.")</f>
        <v>IP68, температура окружающей среды - от минус 50°С до +85°С, коммутируемая мощность - 500 ВА (активная, индуктивная нагрузка), коммутируемые: напряжение - 24 --- 250 В 50/60Гц, ток - 0,01 --- 3А 
 Основной цвет корпуса: черный или белый
 Контакты датчика: - размыкаются на расстоянии 12 мм и менее, замыкаются на расстоянии 15 мм и более.</v>
      </c>
      <c r="C876" s="9">
        <f ca="1">IFERROR(__xludf.DUMMYFUNCTION("""COMPUTED_VALUE"""),4950)</f>
        <v>4950</v>
      </c>
      <c r="D876" s="6"/>
      <c r="E876" s="8"/>
    </row>
    <row r="877" spans="1:5" ht="140.25">
      <c r="A877" s="5" t="str">
        <f ca="1">IFERROR(__xludf.DUMMYFUNCTION("""COMPUTED_VALUE"""),"КМ-250-NO-NС ""ARTOL"" (c магнитом М-030) АТФЕ.425119.071ТУ")</f>
        <v>КМ-250-NO-NС "ARTOL" (c магнитом М-030) АТФЕ.425119.071ТУ</v>
      </c>
      <c r="B877" s="6" t="str">
        <f ca="1">IFERROR(__xludf.DUMMYFUNCTION("""COMPUTED_VALUE"""),"IP68, температура окружающей среды -от минус 50°С до +85°С, коммутируемая мощность -500 ВА (активная, индуктивная нагрузка), коммутируемые: напряжение - 24 --- 250 В 50/60Гц, ток - 0,01 --- 3А 
 Основной цвет корпуса: черный или белый
 Контакты датчика: -"&amp;" переключаются на расстоянии 15 мм и менее, возврат обратно на расстоянии 35 мм и более.")</f>
        <v>IP68, температура окружающей среды -от минус 50°С до +85°С, коммутируемая мощность -500 ВА (активная, индуктивная нагрузка), коммутируемые: напряжение - 24 --- 250 В 50/60Гц, ток - 0,01 --- 3А 
 Основной цвет корпуса: черный или белый
 Контакты датчика: - переключаются на расстоянии 15 мм и менее, возврат обратно на расстоянии 35 мм и более.</v>
      </c>
      <c r="C877" s="9">
        <f ca="1">IFERROR(__xludf.DUMMYFUNCTION("""COMPUTED_VALUE"""),6380)</f>
        <v>6380</v>
      </c>
      <c r="D877" s="6"/>
      <c r="E877" s="8"/>
    </row>
    <row r="878" spans="1:5" ht="140.25">
      <c r="A878" s="5" t="str">
        <f ca="1">IFERROR(__xludf.DUMMYFUNCTION("""COMPUTED_VALUE"""),"КМ-250-NO-NС ""ARTOL"" (c магнитом М-025) АТФЕ.425119.071ТУ")</f>
        <v>КМ-250-NO-NС "ARTOL" (c магнитом М-025) АТФЕ.425119.071ТУ</v>
      </c>
      <c r="B878" s="6" t="str">
        <f ca="1">IFERROR(__xludf.DUMMYFUNCTION("""COMPUTED_VALUE"""),"IP68, температура окружающей среды -от минус 50°С до +85°С, коммутируемая мощность - 500 ВА (активная, индуктивная нагрузка), коммутируемые: напряжение - 24 --- 250 В 50/60Гц, ток-0,01 --- 3А 
 Основной цвет корпуса: черный или белый
 Контакты датчика: - "&amp;"переключаются на расстоянии 12 мм и менее, возврат обратно на расстоянии 15 мм и более.")</f>
        <v>IP68, температура окружающей среды -от минус 50°С до +85°С, коммутируемая мощность - 500 ВА (активная, индуктивная нагрузка), коммутируемые: напряжение - 24 --- 250 В 50/60Гц, ток-0,01 --- 3А 
 Основной цвет корпуса: черный или белый
 Контакты датчика: - переключаются на расстоянии 12 мм и менее, возврат обратно на расстоянии 15 мм и более.</v>
      </c>
      <c r="C878" s="9">
        <f ca="1">IFERROR(__xludf.DUMMYFUNCTION("""COMPUTED_VALUE"""),5940)</f>
        <v>5940</v>
      </c>
      <c r="D878" s="6"/>
      <c r="E878" s="8"/>
    </row>
    <row r="879" spans="1:5" ht="165.75">
      <c r="A879" s="5" t="str">
        <f ca="1">IFERROR(__xludf.DUMMYFUNCTION("""COMPUTED_VALUE"""),"КМ-250-NO ""ARTOL""исп.100 АТФЕ.425119.071ТУ")</f>
        <v>КМ-250-NO "ARTOL"исп.100 АТФЕ.425119.071ТУ</v>
      </c>
      <c r="B879"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и"&amp;" менее, размыкаются на расстоянии 23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 менее, размыкаются на расстоянии 23 мм и более. Покрытие корпусов вандалоустойчивыми красками: Антик, Антик серебряный, порошковые - +150 руб., покрытие простыми красками - + 100руб.</v>
      </c>
      <c r="C879" s="9">
        <f ca="1">IFERROR(__xludf.DUMMYFUNCTION("""COMPUTED_VALUE"""),2640)</f>
        <v>2640</v>
      </c>
      <c r="D879" s="6"/>
      <c r="E879" s="8"/>
    </row>
    <row r="880" spans="1:5" ht="165.75">
      <c r="A880" s="5" t="str">
        <f ca="1">IFERROR(__xludf.DUMMYFUNCTION("""COMPUTED_VALUE"""),"КМ-250-NС ""ARTOL""исп.100 АТФЕ.425119.071ТУ")</f>
        <v>КМ-250-NС "ARTOL"исп.100 АТФЕ.425119.071ТУ</v>
      </c>
      <c r="B880"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размыкаются на расстоянии 17 мм"&amp;"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размыкаются на расстоянии 17 мм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0" s="9">
        <f ca="1">IFERROR(__xludf.DUMMYFUNCTION("""COMPUTED_VALUE"""),3080)</f>
        <v>3080</v>
      </c>
      <c r="D880" s="6"/>
      <c r="E880" s="8"/>
    </row>
    <row r="881" spans="1:5" ht="165.75">
      <c r="A881" s="5" t="str">
        <f ca="1">IFERROR(__xludf.DUMMYFUNCTION("""COMPUTED_VALUE"""),"КМ-250-NO-NС ""ARTOL"" исп.100 АТФЕ.425119.071ТУ")</f>
        <v>КМ-250-NO-NС "ARTOL" исп.100 АТФЕ.425119.071ТУ</v>
      </c>
      <c r="B881" s="6" t="str">
        <f ca="1">IFERROR(__xludf.DUMMYFUNCTION("""COMPUTED_VALUE"""),"IP68,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17 "&amp;"мм и менее,возврат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17 мм и менее,возврат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1" s="9">
        <f ca="1">IFERROR(__xludf.DUMMYFUNCTION("""COMPUTED_VALUE"""),3630)</f>
        <v>3630</v>
      </c>
      <c r="D881" s="6"/>
      <c r="E881" s="8"/>
    </row>
    <row r="882" spans="1:5" ht="165.75">
      <c r="A882" s="5" t="str">
        <f ca="1">IFERROR(__xludf.DUMMYFUNCTION("""COMPUTED_VALUE"""),"КМ-250-NO ""ARTOL""исп.200 АТФЕ.425119.071ТУ")</f>
        <v>КМ-250-NO "ARTOL"исп.200 АТФЕ.425119.071ТУ</v>
      </c>
      <c r="B882"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17 мм и"&amp;" менее, размыкаются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17 мм и менее, размыкаются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2" s="9">
        <f ca="1">IFERROR(__xludf.DUMMYFUNCTION("""COMPUTED_VALUE"""),4070)</f>
        <v>4070</v>
      </c>
      <c r="D882" s="6"/>
      <c r="E882" s="8"/>
    </row>
    <row r="883" spans="1:5" ht="165.75">
      <c r="A883" s="5" t="str">
        <f ca="1">IFERROR(__xludf.DUMMYFUNCTION("""COMPUTED_VALUE"""),"КМ-250-NС ""ARTOL""исп.200 АТФЕ.425119.071ТУ")</f>
        <v>КМ-250-NС "ARTOL"исп.200 АТФЕ.425119.071ТУ</v>
      </c>
      <c r="B883" s="6" t="str">
        <f ca="1">IFERROR(__xludf.DUMMYFUNCTION("""COMPUTED_VALUE"""),"IP68, температура окружающей среды - от минус 50°С до +85°С, коммутируемая мощность не более-500 ВА (активная, индуктивная нагрузка), коммутируемые: напряжение - 24 --- 250 В 50/60Гц, ток- 0,01 --- 3А 
 Контакты датчика: - размыкаются на расстоянии 17 мм "&amp;"и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более-500 ВА (активная, индуктивная нагрузка), коммутируемые: напряжение - 24 --- 250 В 50/60Гц, ток- 0,01 --- 3А 
 Контакты датчика: - размыкаются на расстоянии 17 мм и менее, замыкаются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3" s="9">
        <f ca="1">IFERROR(__xludf.DUMMYFUNCTION("""COMPUTED_VALUE"""),4290)</f>
        <v>4290</v>
      </c>
      <c r="D883" s="6"/>
      <c r="E883" s="8"/>
    </row>
    <row r="884" spans="1:5" ht="165.75">
      <c r="A884" s="5" t="str">
        <f ca="1">IFERROR(__xludf.DUMMYFUNCTION("""COMPUTED_VALUE"""),"КМ-250-NO-NС ""ARTOL"" исп.200 АТФЕ.425119.071ТУ")</f>
        <v>КМ-250-NO-NС "ARTOL" исп.200 АТФЕ.425119.071ТУ</v>
      </c>
      <c r="B884"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переключаются на расстоянии 17 "&amp;"мм и менее, 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переключаются на расстоянии 17 мм и менее, возврат обратно на расстоянии 33 мм и более. Покрытие корпусов вандалоустойчивыми красками: Антик, Антик серебряный, порошковые - +150 руб., покрытие простыми красками - + 100руб.</v>
      </c>
      <c r="C884" s="9">
        <f ca="1">IFERROR(__xludf.DUMMYFUNCTION("""COMPUTED_VALUE"""),4730)</f>
        <v>4730</v>
      </c>
      <c r="D884" s="6"/>
      <c r="E884" s="8"/>
    </row>
    <row r="885" spans="1:5" ht="178.5">
      <c r="A885" s="5" t="str">
        <f ca="1">IFERROR(__xludf.DUMMYFUNCTION("""COMPUTED_VALUE"""),"КМ-250-NO ""ARTOL""исп.250 АТФЕ.425119.071ТУ")</f>
        <v>КМ-250-NO "ARTOL"исп.250 АТФЕ.425119.071ТУ</v>
      </c>
      <c r="B885"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замыкаются на расстоянии 105 мм"&amp;" и менее, размыкаются на расстоянии 120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ток- 0,01 --- 3А 
 Контакты датчика: - замыкаются на расстоянии 105 мм и менее, размыкаются на расстоянии 120 мм и более. Покрытие корпусов вандалоустойчивыми красками: Антик, Антик серебряный, порошковые - +150 руб., покрытие простыми красками - + 100руб.</v>
      </c>
      <c r="C885" s="9">
        <f ca="1">IFERROR(__xludf.DUMMYFUNCTION("""COMPUTED_VALUE"""),5544)</f>
        <v>5544</v>
      </c>
      <c r="D885" s="6"/>
      <c r="E885" s="8"/>
    </row>
    <row r="886" spans="1:5" ht="165.75">
      <c r="A886" s="5" t="str">
        <f ca="1">IFERROR(__xludf.DUMMYFUNCTION("""COMPUTED_VALUE"""),"КМ-250-NС ""ARTOL""исп.250 АТФЕ.425119.071ТУ")</f>
        <v>КМ-250-NС "ARTOL"исп.250 АТФЕ.425119.071ТУ</v>
      </c>
      <c r="B886" s="6" t="str">
        <f ca="1">IFERROR(__xludf.DUMMYFUNCTION("""COMPUTED_VALUE"""),"IP68, температура окружающей среды - от минус 50°С до +85°С, коммутируемая мощность не более -500 ВА (активная, индуктивная нагрузка), коммутируемые: напряжение - 24 --- 250 В 50/60Гц, ток- 0,01 --- 3А 
 Контакты датчика: - размыкаются на расстоянии 90 мм"&amp;" и менее, замыкаются на расстоянии 125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 от минус 50°С до +85°С, коммутируемая мощность не более -500 ВА (активная, индуктивная нагрузка), коммутируемые: напряжение - 24 --- 250 В 50/60Гц, ток- 0,01 --- 3А 
 Контакты датчика: - размыкаются на расстоянии 90 мм и менее, замыкаются на расстоянии 125 мм и более. Покрытие корпусов вандалоустойчивыми красками: Антик, Антик серебряный, порошковые - +150 руб., покрытие простыми красками - + 100руб.</v>
      </c>
      <c r="C886" s="9">
        <f ca="1">IFERROR(__xludf.DUMMYFUNCTION("""COMPUTED_VALUE"""),6204)</f>
        <v>6204</v>
      </c>
      <c r="D886" s="6"/>
      <c r="E886" s="8"/>
    </row>
    <row r="887" spans="1:5" ht="165.75">
      <c r="A887" s="5" t="str">
        <f ca="1">IFERROR(__xludf.DUMMYFUNCTION("""COMPUTED_VALUE"""),"КМ-250-NO-NС ""ARTOL"" исп.250 АТФЕ.425119.071ТУ")</f>
        <v>КМ-250-NO-NС "ARTOL" исп.250 АТФЕ.425119.071ТУ</v>
      </c>
      <c r="B887" s="6" t="str">
        <f ca="1">IFERROR(__xludf.DUMMYFUNCTION("""COMPUTED_VALUE"""),"IP68,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90 м"&amp;"м и менее, возврат обратно на расстоянии 125 мм и более. Покрытие корпусов вандалоустойчивыми красками: Антик, Антик серебряный, порошковые - +150 руб., покрытие простыми красками - + 100руб.")</f>
        <v>IP68, температура окружающей среды -от минус 50°С до +85°С, коммутируемая мощность не более - 500 ВА (активная, индуктивная нагрузка), коммутируемые: напряжение - 24 --- 250 В 50/60Гц, ток-0,01 --- 3А 
 Контакты датчика: - переключаются на расстоянии 90 мм и менее, возврат обратно на расстоянии 125 мм и более. Покрытие корпусов вандалоустойчивыми красками: Антик, Антик серебряный, порошковые - +150 руб., покрытие простыми красками - + 100руб.</v>
      </c>
      <c r="C887" s="9">
        <f ca="1">IFERROR(__xludf.DUMMYFUNCTION("""COMPUTED_VALUE"""),6336)</f>
        <v>6336</v>
      </c>
      <c r="D887" s="6"/>
      <c r="E887" s="8"/>
    </row>
    <row r="888" spans="1:5" ht="114.75">
      <c r="A888" s="5" t="str">
        <f ca="1">IFERROR(__xludf.DUMMYFUNCTION("""COMPUTED_VALUE"""),"КМ-250-NO ""ARTOL""исп.300 АТФЕ.425119.071ТУ")</f>
        <v>КМ-250-NO "ARTOL"исп.300 АТФЕ.425119.071ТУ</v>
      </c>
      <c r="B888" s="6" t="str">
        <f ca="1">IFERROR(__xludf.DUMMYFUNCTION("""COMPUTED_VALUE"""),"IP68,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"&amp;"и менее, размыкаются на расстоянии 35 мм и более.")</f>
        <v>IP68, 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замыкаются на расстоянии 20 мм и менее, размыкаются на расстоянии 35 мм и более.</v>
      </c>
      <c r="C888" s="9">
        <f ca="1">IFERROR(__xludf.DUMMYFUNCTION("""COMPUTED_VALUE"""),11770)</f>
        <v>11770</v>
      </c>
      <c r="D888" s="6"/>
      <c r="E888" s="8"/>
    </row>
    <row r="889" spans="1:5" ht="114.75">
      <c r="A889" s="5" t="str">
        <f ca="1">IFERROR(__xludf.DUMMYFUNCTION("""COMPUTED_VALUE"""),"КМ-250-NС ""ARTOL""исп.300 АТФЕ.425119.071ТУ")</f>
        <v>КМ-250-NС "ARTOL"исп.300 АТФЕ.425119.071ТУ</v>
      </c>
      <c r="B889" s="6" t="str">
        <f ca="1">IFERROR(__xludf.DUMMYFUNCTION("""COMPUTED_VALUE"""),"IP68,температура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размыкаются на расстоянии 15 мм "&amp;"и менее, замыкаются на расстоянии 30 мм и более.")</f>
        <v>IP68,температура окружающей среды - от минус 50°С до +85°С, коммутируемая мощность не более - 500 ВА (активная, индуктивная нагрузка), коммутируемые: напряжение - 24 --- 250 В 50/60Гц, ток-0,01 --- 3А 
 Контакты датчика: - размыкаются на расстоянии 15 мм и менее, замыкаются на расстоянии 30 мм и более.</v>
      </c>
      <c r="C889" s="9">
        <f ca="1">IFERROR(__xludf.DUMMYFUNCTION("""COMPUTED_VALUE"""),12100)</f>
        <v>12100</v>
      </c>
      <c r="D889" s="6"/>
      <c r="E889" s="8"/>
    </row>
    <row r="890" spans="1:5" ht="25.5">
      <c r="A890" s="5" t="str">
        <f ca="1">IFERROR(__xludf.DUMMYFUNCTION("""COMPUTED_VALUE"""),"КМ-250-NO ""ARTOL"" исп.300 (магнит) АТФЕ.425119.071ТУ")</f>
        <v>КМ-250-NO "ARTOL" исп.300 (магнит) АТФЕ.425119.071ТУ</v>
      </c>
      <c r="B890" s="6" t="str">
        <f ca="1">IFERROR(__xludf.DUMMYFUNCTION("""COMPUTED_VALUE"""),"магнит к датчику КМ-250-NO ""ARTOL"" исп.300")</f>
        <v>магнит к датчику КМ-250-NO "ARTOL" исп.300</v>
      </c>
      <c r="C890" s="9">
        <f ca="1">IFERROR(__xludf.DUMMYFUNCTION("""COMPUTED_VALUE"""),3707)</f>
        <v>3707</v>
      </c>
      <c r="D890" s="6"/>
      <c r="E890" s="8"/>
    </row>
    <row r="891" spans="1:5" ht="165.75">
      <c r="A891" s="5" t="str">
        <f ca="1">IFERROR(__xludf.DUMMYFUNCTION("""COMPUTED_VALUE"""),"КМ-250-12А-NO «ARTOL» АТФЕ 425119.080 ПС IP64")</f>
        <v>КМ-250-12А-NO «ARTOL» АТФЕ 425119.080 ПС IP64</v>
      </c>
      <c r="B891" s="6" t="str">
        <f ca="1">IFERROR(__xludf.DUMMYFUNCTION("""COMPUTED_VALUE"""),"Датчик положенияКМ-250-12А «ARTOL» предназначен для блокировки стальных ворот, дверей ангаров, других конструктивных элементов зданий и сооружений на открывание или смещение с выдачей сигнала путем коммутации цепей переменного тока; коммутации цепей перем"&amp;"енного тока в системах автоматики. Корпуса датчика и магнита изготовлены из металла. Контакты датчика замкнуты под действием магнита и разомкнуты при прекращении действия магнита.")</f>
        <v>Датчик положенияКМ-250-12А «ARTOL» предназначен для блокировки стальных ворот, дверей ангаров, других конструктивных элементов зданий и сооружений на открывание или смещение с выдачей сигнала путем коммутации цепей переменного тока; коммутации цепей переменного тока в системах автоматики. Корпуса датчика и магнита изготовлены из металла. Контакты датчика замкнуты под действием магнита и разомкнуты при прекращении действия магнита.</v>
      </c>
      <c r="C891" s="9">
        <f ca="1">IFERROR(__xludf.DUMMYFUNCTION("""COMPUTED_VALUE"""),3630)</f>
        <v>3630</v>
      </c>
      <c r="D891" s="6"/>
      <c r="E891" s="8"/>
    </row>
    <row r="892" spans="1:5" ht="38.25">
      <c r="A892" s="5" t="str">
        <f ca="1">IFERROR(__xludf.DUMMYFUNCTION("""COMPUTED_VALUE"""),"КМ-250-12А-NC «ARTOL» АТФЕ 425119.080 ПС IP64")</f>
        <v>КМ-250-12А-NC «ARTOL» АТФЕ 425119.080 ПС IP64</v>
      </c>
      <c r="B892" s="6" t="str">
        <f ca="1">IFERROR(__xludf.DUMMYFUNCTION("""COMPUTED_VALUE"""),"Контакты датчика разомкнуты под действием магнита и замкнуты при прекращении действия магнита.")</f>
        <v>Контакты датчика разомкнуты под действием магнита и замкнуты при прекращении действия магнита.</v>
      </c>
      <c r="C892" s="9">
        <f ca="1">IFERROR(__xludf.DUMMYFUNCTION("""COMPUTED_VALUE"""),3740)</f>
        <v>3740</v>
      </c>
      <c r="D892" s="6"/>
      <c r="E892" s="8"/>
    </row>
    <row r="893" spans="1:5" ht="51">
      <c r="A893" s="5" t="str">
        <f ca="1">IFERROR(__xludf.DUMMYFUNCTION("""COMPUTED_VALUE"""),"КМ-250-12А-NO-NC «ARTOL» АТФЕ 425119.080 ПС IP64")</f>
        <v>КМ-250-12А-NO-NC «ARTOL» АТФЕ 425119.080 ПС IP64</v>
      </c>
      <c r="B893" s="6" t="str">
        <f ca="1">IFERROR(__xludf.DUMMYFUNCTION("""COMPUTED_VALUE"""),"Контакты датчика переключены под действием магнита, переход в исходное состояние при прекращении действия магнита")</f>
        <v>Контакты датчика переключены под действием магнита, переход в исходное состояние при прекращении действия магнита</v>
      </c>
      <c r="C893" s="9">
        <f ca="1">IFERROR(__xludf.DUMMYFUNCTION("""COMPUTED_VALUE"""),4620)</f>
        <v>4620</v>
      </c>
      <c r="D893" s="6"/>
      <c r="E893" s="8"/>
    </row>
    <row r="894" spans="1:5" ht="255">
      <c r="A894" s="5" t="str">
        <f ca="1">IFERROR(__xludf.DUMMYFUNCTION("""COMPUTED_VALUE"""),"Электромеханическое поворотное устройство (ЭПУ) ПАШК.421321.001")</f>
        <v>Электромеханическое поворотное устройство (ЭПУ) ПАШК.421321.001</v>
      </c>
      <c r="B894" s="6" t="str">
        <f ca="1">IFERROR(__xludf.DUMMYFUNCTION("""COMPUTED_VALUE"""),"Устройство электромеханическое поворотное для управления рычагом шарового крана, установленного на жидкостном или газовом трубопроводе. Устройство оснащено поворотным механизмом. Монтаж устройства не требует разборки трубопровода, устройство может быть ус"&amp;"тановлено самостоятельно. С помощью крепежного элемента устройство устанавливается непосредственно на трубопровод диаметром ½
 , ¾, 1, 1+1/4, 1+½ дюйма. Устройство приводится в действие как электрическим, так и ручным способом. Номинальное напряжение пита"&amp;"ния постоянного тока 12В. Габаритные размеры 94х70х145. Диапазон температур -10°С до +50°С (для кранов рычаг)")</f>
        <v>Устройство электромеханическое поворотное для управления рычагом шарового крана, установленного на жидкостном или газовом трубопроводе. Устройство оснащено поворотным механизмом. Монтаж устройства не требует разборки трубопровода, устройство может быть установлено самостоятельно. С помощью крепежного элемента устройство устанавливается непосредственно на трубопровод диаметром ½
 , ¾, 1, 1+1/4, 1+½ дюйма. Устройство приводится в действие как электрическим, так и ручным способом. Номинальное напряжение питания постоянного тока 12В. Габаритные размеры 94х70х145. Диапазон температур -10°С до +50°С (для кранов рычаг)</v>
      </c>
      <c r="C894" s="9">
        <f ca="1">IFERROR(__xludf.DUMMYFUNCTION("""COMPUTED_VALUE"""),3983.837)</f>
        <v>3983.837</v>
      </c>
      <c r="D894" s="6"/>
      <c r="E894" s="8"/>
    </row>
    <row r="895" spans="1:5" ht="102">
      <c r="A895" s="5" t="str">
        <f ca="1">IFERROR(__xludf.DUMMYFUNCTION("""COMPUTED_VALUE"""),"Электромеханическое поворотное устройство со встроенными датчиками положения (ЭПУ) ПАШК.421321.002")</f>
        <v>Электромеханическое поворотное устройство со встроенными датчиками положения (ЭПУ) ПАШК.421321.002</v>
      </c>
      <c r="B895" s="6" t="str">
        <f ca="1">IFERROR(__xludf.DUMMYFUNCTION("""COMPUTED_VALUE"""),"Номинальное напряжение питания постоянного тока 12В. Габаритные размеры 94х70х145. Диапазон температур -10°С до +50°С. Полная гальваническая развязка, сухие контакты концевых датчиков указывают крайние положения поворотного устройства (для кранов рычаг)")</f>
        <v>Номинальное напряжение питания постоянного тока 12В. Габаритные размеры 94х70х145. Диапазон температур -10°С до +50°С. Полная гальваническая развязка, сухие контакты концевых датчиков указывают крайние положения поворотного устройства (для кранов рычаг)</v>
      </c>
      <c r="C895" s="9">
        <f ca="1">IFERROR(__xludf.DUMMYFUNCTION("""COMPUTED_VALUE"""),5433.142)</f>
        <v>5433.1419999999998</v>
      </c>
      <c r="D895" s="6"/>
      <c r="E895" s="8"/>
    </row>
    <row r="896" spans="1:5" ht="114.75">
      <c r="A896" s="5" t="str">
        <f ca="1">IFERROR(__xludf.DUMMYFUNCTION("""COMPUTED_VALUE"""),"Блок управления реверсивным двигателем БУРД ""РЕВЕРС"" ПАШК.421321.002-01")</f>
        <v>Блок управления реверсивным двигателем БУРД "РЕВЕРС" ПАШК.421321.002-01</v>
      </c>
      <c r="B896" s="6" t="str">
        <f ca="1">IFERROR(__xludf.DUMMYFUNCTION("""COMPUTED_VALUE"""),"блок управления реверсивным двигателем позволяет управлять электромеханическим поворотным устройством (ЭПУ) различными способами: вручную и автоматически. Оснащен светодиодами D2 и D3, с помощью которых можно определить состояние ЭПУ: ""открыто"", ""закры"&amp;"то"". IP 20")</f>
        <v>блок управления реверсивным двигателем позволяет управлять электромеханическим поворотным устройством (ЭПУ) различными способами: вручную и автоматически. Оснащен светодиодами D2 и D3, с помощью которых можно определить состояние ЭПУ: "открыто", "закрыто". IP 20</v>
      </c>
      <c r="C896" s="9">
        <f ca="1">IFERROR(__xludf.DUMMYFUNCTION("""COMPUTED_VALUE"""),718.762)</f>
        <v>718.76199999999994</v>
      </c>
      <c r="D896" s="6"/>
      <c r="E896" s="8"/>
    </row>
    <row r="897" spans="1:5" ht="153">
      <c r="A897" s="5" t="str">
        <f ca="1">IFERROR(__xludf.DUMMYFUNCTION("""COMPUTED_VALUE"""),"БЗЛ-ШП ""АЯКС"" исп.01 ПАШК.425243.002")</f>
        <v>БЗЛ-ШП "АЯКС" исп.01 ПАШК.425243.002</v>
      </c>
      <c r="B897" s="6" t="str">
        <f ca="1">IFERROR(__xludf.DUMMYFUNCTION("""COMPUTED_VALUE"""),"Блок защиты линии шлейфа сигнализации и питания приборов систем сигнализации. Предназначен для защиты оборудования,
 подключенного по протяженным линиям к шлейфам сигнализации связи и линиям вторичного питания систем сигнализации от импульсных перенапряже"&amp;"ний и помех, вызванных электромагнитными импульсами высоких энергий.
 12 В, IP 65")</f>
        <v>Блок защиты линии шлейфа сигнализации и питания приборов систем сигнализации. Предназначен для защиты оборудования,
 подключенного по протяженным линиям к шлейфам сигнализации связи и линиям вторичного питания систем сигнализации от импульсных перенапряжений и помех, вызванных электромагнитными импульсами высоких энергий.
 12 В, IP 65</v>
      </c>
      <c r="C897" s="9">
        <f ca="1">IFERROR(__xludf.DUMMYFUNCTION("""COMPUTED_VALUE"""),3824.48)</f>
        <v>3824.48</v>
      </c>
      <c r="D897" s="6"/>
      <c r="E897" s="8"/>
    </row>
    <row r="898" spans="1:5" ht="38.25">
      <c r="A898" s="5" t="str">
        <f ca="1">IFERROR(__xludf.DUMMYFUNCTION("""COMPUTED_VALUE"""),"БЗЛ-ШП ""АЯКС"" исп.02 ПАШК.425243.002")</f>
        <v>БЗЛ-ШП "АЯКС" исп.02 ПАШК.425243.002</v>
      </c>
      <c r="B898" s="6" t="str">
        <f ca="1">IFERROR(__xludf.DUMMYFUNCTION("""COMPUTED_VALUE"""),"Блок защиты линии шлейфа сигнализации и питания приборов систем сигнализации. 24 В, IP 65")</f>
        <v>Блок защиты линии шлейфа сигнализации и питания приборов систем сигнализации. 24 В, IP 65</v>
      </c>
      <c r="C898" s="9">
        <f ca="1">IFERROR(__xludf.DUMMYFUNCTION("""COMPUTED_VALUE"""),3824.48)</f>
        <v>3824.48</v>
      </c>
      <c r="D898" s="6"/>
      <c r="E898" s="8"/>
    </row>
    <row r="899" spans="1:5" ht="38.25">
      <c r="A899" s="5" t="str">
        <f ca="1">IFERROR(__xludf.DUMMYFUNCTION("""COMPUTED_VALUE"""),"БЗЛ-ШП ""АЯКС"" исп.03 ПАШК.425243.002")</f>
        <v>БЗЛ-ШП "АЯКС" исп.03 ПАШК.425243.002</v>
      </c>
      <c r="B899" s="6" t="str">
        <f ca="1">IFERROR(__xludf.DUMMYFUNCTION("""COMPUTED_VALUE"""),"Блок защиты линии шлейфа сигнализации и питания приборов систем сигнализации. 12 В, 24 В, IP 65")</f>
        <v>Блок защиты линии шлейфа сигнализации и питания приборов систем сигнализации. 12 В, 24 В, IP 65</v>
      </c>
      <c r="C899" s="9">
        <f ca="1">IFERROR(__xludf.DUMMYFUNCTION("""COMPUTED_VALUE"""),3824.48)</f>
        <v>3824.48</v>
      </c>
      <c r="D899" s="6"/>
      <c r="E899" s="8"/>
    </row>
    <row r="900" spans="1:5" ht="114.75">
      <c r="A900" s="5" t="str">
        <f ca="1">IFERROR(__xludf.DUMMYFUNCTION("""COMPUTED_VALUE"""),"БЗЛ-ВП-220 ""Аякс"" ПАШК.425243.001")</f>
        <v>БЗЛ-ВП-220 "Аякс" ПАШК.425243.001</v>
      </c>
      <c r="B900" s="6" t="str">
        <f ca="1">IFERROR(__xludf.DUMMYFUNCTION("""COMPUTED_VALUE"""),"Блок защиты линий видеосигнала и питания видеокамер. Предназначен для защиты аппаратуры по протяженным коаксиальным линиям связи, а также цепей питания аппаратуры напряжением ~220В переменного тока от импульсных перенапряжений и помех, вызванных электрома"&amp;"гнитнытными импульсами высоких энергий. IP 65")</f>
        <v>Блок защиты линий видеосигнала и питания видеокамер. Предназначен для защиты аппаратуры по протяженным коаксиальным линиям связи, а также цепей питания аппаратуры напряжением ~220В переменного тока от импульсных перенапряжений и помех, вызванных электромагнитнытными импульсами высоких энергий. IP 65</v>
      </c>
      <c r="C900" s="9">
        <f ca="1">IFERROR(__xludf.DUMMYFUNCTION("""COMPUTED_VALUE"""),3907.013)</f>
        <v>3907.0129999999999</v>
      </c>
      <c r="D900" s="6"/>
      <c r="E900" s="8"/>
    </row>
    <row r="901" spans="1:5" ht="140.25">
      <c r="A901" s="5" t="str">
        <f ca="1">IFERROR(__xludf.DUMMYFUNCTION("""COMPUTED_VALUE"""),"БЗЛ-ВП ""Аякс"" (12/24В) ПАШК.425243.001")</f>
        <v>БЗЛ-ВП "Аякс" (12/24В) ПАШК.425243.001</v>
      </c>
      <c r="B901" s="6" t="str">
        <f ca="1">IFERROR(__xludf.DUMMYFUNCTION("""COMPUTED_VALUE"""),"Блок защиты линий видеосигнала и питания видеокамер. Предназачен для защиты аппаратуры по протяженным
 симметричным линиям связи на основе витой пары и несимметричным линиям связи на основе коаксиального кабеля, а также цепей питания аппаратуры напряжение"&amp;"м 12/24В постоянного тока от импульсных перенапряжений и помех, вызванных электромагнитными импульсами высоких энергий. IP 65")</f>
        <v>Блок защиты линий видеосигнала и питания видеокамер. Предназачен для защиты аппаратуры по протяженным
 симметричным линиям связи на основе витой пары и несимметричным линиям связи на основе коаксиального кабеля, а также цепей питания аппаратуры напряжением 12/24В постоянного тока от импульсных перенапряжений и помех, вызванных электромагнитными импульсами высоких энергий. IP 65</v>
      </c>
      <c r="C901" s="9">
        <f ca="1">IFERROR(__xludf.DUMMYFUNCTION("""COMPUTED_VALUE"""),3907.013)</f>
        <v>3907.0129999999999</v>
      </c>
      <c r="D901" s="6"/>
      <c r="E901" s="8"/>
    </row>
    <row r="902" spans="1:5" ht="153">
      <c r="A902" s="5" t="str">
        <f ca="1">IFERROR(__xludf.DUMMYFUNCTION("""COMPUTED_VALUE"""),"БЗЛ-В-1 ""Аякс"" исп.01 ПАШК 425243.003")</f>
        <v>БЗЛ-В-1 "Аякс" исп.01 ПАШК 425243.003</v>
      </c>
      <c r="B902" s="6" t="str">
        <f ca="1">IFERROR(__xludf.DUMMYFUNCTION("""COMPUTED_VALUE"""),"Блок защиты линий видеосигнала видеокамер. Предназначен
 для защиты аппаратуры по протяженным коаксиальным
 линиям связи от импульсных перенапряжений и помех, вызванных электромагнитными импульсами высоких энергий. Пластмассовый корпус с разъѐмами BNC (пр"&amp;"и заказе необходимо указать тип разъема на входе ""Линия"" и на входе ""Аппаратура"" F/M, M/M, F/F, M/F). IP 20")</f>
        <v>Блок защиты линий видеосигнала видеокамер. Предназначен
 для защиты аппаратуры по протяженным коаксиальным
 линиям связи от импульсных перенапряжений и помех, вызванных электромагнитными импульсами высоких энергий. Пластмассовый корпус с разъѐмами BNC (при заказе необходимо указать тип разъема на входе "Линия" и на входе "Аппаратура" F/M, M/M, F/F, M/F). IP 20</v>
      </c>
      <c r="C902" s="9">
        <f ca="1">IFERROR(__xludf.DUMMYFUNCTION("""COMPUTED_VALUE"""),1270.731)</f>
        <v>1270.731</v>
      </c>
      <c r="D902" s="6"/>
      <c r="E902" s="8"/>
    </row>
    <row r="903" spans="1:5" ht="38.25">
      <c r="A903" s="5" t="str">
        <f ca="1">IFERROR(__xludf.DUMMYFUNCTION("""COMPUTED_VALUE"""),"БЗЛ-В-1 ""Аякс"" исп.02 ПАШК 425243.003")</f>
        <v>БЗЛ-В-1 "Аякс" исп.02 ПАШК 425243.003</v>
      </c>
      <c r="B903" s="6" t="str">
        <f ca="1">IFERROR(__xludf.DUMMYFUNCTION("""COMPUTED_VALUE"""),"Блок защиты линий видеосигнала видеокамер, в виде защищѐнной печатной платы. IP 20")</f>
        <v>Блок защиты линий видеосигнала видеокамер, в виде защищѐнной печатной платы. IP 20</v>
      </c>
      <c r="C903" s="9">
        <f ca="1">IFERROR(__xludf.DUMMYFUNCTION("""COMPUTED_VALUE"""),1270.731)</f>
        <v>1270.731</v>
      </c>
      <c r="D903" s="6"/>
      <c r="E903" s="8"/>
    </row>
    <row r="904" spans="1:5" ht="178.5">
      <c r="A904" s="5" t="str">
        <f ca="1">IFERROR(__xludf.DUMMYFUNCTION("""COMPUTED_VALUE"""),"БЗК-8 ""СЕВЕР"" АТФЕ.423141.001")</f>
        <v>БЗК-8 "СЕВЕР" АТФЕ.423141.001</v>
      </c>
      <c r="B904" s="6" t="str">
        <f ca="1">IFERROR(__xludf.DUMMYFUNCTION("""COMPUTED_VALUE"""),"Блок коммутационный защитный. Предназначен для распределения тока источника питания аппаратуры ОПС по 8 каналам и защиты каждого канала по току при помощи предохранителей. Каждый канал оснащен предохранителем и индикатором красного цвета, индицирующим пер"&amp;"егрузку канала по тоу и выходу предохранителя из строя. Зеленый индикатор ""Вход"" индицирует наличие напряжения на входе. БЗК-8 рассчитан на непрерывную круглосуточную работу. IP 65")</f>
        <v>Блок коммутационный защитный. Предназначен для распределения тока источника питания аппаратуры ОПС по 8 каналам и защиты каждого канала по току при помощи предохранителей. Каждый канал оснащен предохранителем и индикатором красного цвета, индицирующим перегрузку канала по тоу и выходу предохранителя из строя. Зеленый индикатор "Вход" индицирует наличие напряжения на входе. БЗК-8 рассчитан на непрерывную круглосуточную работу. IP 65</v>
      </c>
      <c r="C904" s="9">
        <f ca="1">IFERROR(__xludf.DUMMYFUNCTION("""COMPUTED_VALUE"""),1837.583)</f>
        <v>1837.5830000000001</v>
      </c>
      <c r="D904" s="6"/>
      <c r="E904" s="8"/>
    </row>
    <row r="905" spans="1:5" ht="140.25">
      <c r="A905" s="5" t="str">
        <f ca="1">IFERROR(__xludf.DUMMYFUNCTION("""COMPUTED_VALUE"""),"ИПН- 24/12 «АЯКС» АТФЕ.469445.001-01")</f>
        <v>ИПН- 24/12 «АЯКС» АТФЕ.469445.001-01</v>
      </c>
      <c r="B905" s="6" t="str">
        <f ca="1">IFERROR(__xludf.DUMMYFUNCTION("""COMPUTED_VALUE"""),"Предназначен для преобразования нестабилизированного входного напряжения постоянного тока, находящегося в пределах от 19 до 28 В, в выходное стабилизированное напряжение 12 В постоянного тока. Преобразователь рассчитан на круглосуточный режим работы при т"&amp;"емпературе окружающей среды от -30 °С до +40 °С и относительной влажности не более 90%")</f>
        <v>Предназначен для преобразования нестабилизированного входного напряжения постоянного тока, находящегося в пределах от 19 до 28 В, в выходное стабилизированное напряжение 12 В постоянного тока. Преобразователь рассчитан на круглосуточный режим работы при температуре окружающей среды от -30 °С до +40 °С и относительной влажности не более 90%</v>
      </c>
      <c r="C905" s="9">
        <f ca="1">IFERROR(__xludf.DUMMYFUNCTION("""COMPUTED_VALUE"""),539)</f>
        <v>539</v>
      </c>
      <c r="D905" s="6"/>
      <c r="E905" s="8"/>
    </row>
    <row r="906" spans="1:5" ht="140.25">
      <c r="A906" s="5" t="str">
        <f ca="1">IFERROR(__xludf.DUMMYFUNCTION("""COMPUTED_VALUE"""),"ИПН- 12/24 «АЯКС» АТФЕ.469445.001")</f>
        <v>ИПН- 12/24 «АЯКС» АТФЕ.469445.001</v>
      </c>
      <c r="B906" s="6" t="str">
        <f ca="1">IFERROR(__xludf.DUMMYFUNCTION("""COMPUTED_VALUE"""),"Предназначен для преобразования нестабилизированного входного напряжения постоянного тока, находящегося в пределах от 10 до 14 В, в выходное стабилизированное напряжение 24 В постоянного тока. Преобразователь рассчитан на круглосуточный режим работы при т"&amp;"емпературе окружающей среды от -30 °С до +40 °С и относительной влажности не более 90%.")</f>
        <v>Предназначен для преобразования нестабилизированного входного напряжения постоянного тока, находящегося в пределах от 10 до 14 В, в выходное стабилизированное напряжение 24 В постоянного тока. Преобразователь рассчитан на круглосуточный режим работы при температуре окружающей среды от -30 °С до +40 °С и относительной влажности не более 90%.</v>
      </c>
      <c r="C906" s="9">
        <f ca="1">IFERROR(__xludf.DUMMYFUNCTION("""COMPUTED_VALUE"""),539)</f>
        <v>539</v>
      </c>
      <c r="D906" s="6"/>
      <c r="E906" s="8"/>
    </row>
    <row r="907" spans="1:5" ht="12.75">
      <c r="A907" s="5" t="str">
        <f ca="1">IFERROR(__xludf.DUMMYFUNCTION("""COMPUTED_VALUE"""),"ИПН- 24/12 «АЯКС» БЕЗ корпуса")</f>
        <v>ИПН- 24/12 «АЯКС» БЕЗ корпуса</v>
      </c>
      <c r="B907" s="6"/>
      <c r="C907" s="9">
        <f ca="1">IFERROR(__xludf.DUMMYFUNCTION("""COMPUTED_VALUE"""),429)</f>
        <v>429</v>
      </c>
      <c r="D907" s="6"/>
      <c r="E907" s="8"/>
    </row>
    <row r="908" spans="1:5" ht="12.75">
      <c r="A908" s="5" t="str">
        <f ca="1">IFERROR(__xludf.DUMMYFUNCTION("""COMPUTED_VALUE"""),"ИПН- 12/24 «АЯКС» БЕЗ корпуса")</f>
        <v>ИПН- 12/24 «АЯКС» БЕЗ корпуса</v>
      </c>
      <c r="B908" s="6"/>
      <c r="C908" s="9">
        <f ca="1">IFERROR(__xludf.DUMMYFUNCTION("""COMPUTED_VALUE"""),429)</f>
        <v>429</v>
      </c>
      <c r="D908" s="6"/>
      <c r="E908" s="8"/>
    </row>
    <row r="909" spans="1:5" ht="89.25">
      <c r="A909" s="5" t="str">
        <f ca="1">IFERROR(__xludf.DUMMYFUNCTION("""COMPUTED_VALUE"""),"Кронштейн К-СМК-1")</f>
        <v>Кронштейн К-СМК-1</v>
      </c>
      <c r="B909" s="6" t="str">
        <f ca="1">IFERROR(__xludf.DUMMYFUNCTION("""COMPUTED_VALUE"""),"Предназначенных для изменения положения при монтаже блока магнита или блока датчика магнитоконтактных извещателей к поверхностям охраняемых конструкций (для извещателей ИО 102-52, ИО 102-2 и сигнализатора СМК-1)")</f>
        <v>Предназначенных для изменения положения при монтаже блока магнита или блока датчика магнитоконтактных извещателей к поверхностям охраняемых конструкций (для извещателей ИО 102-52, ИО 102-2 и сигнализатора СМК-1)</v>
      </c>
      <c r="C909" s="9">
        <f ca="1">IFERROR(__xludf.DUMMYFUNCTION("""COMPUTED_VALUE"""),209)</f>
        <v>209</v>
      </c>
      <c r="D909" s="6"/>
      <c r="E909" s="8"/>
    </row>
    <row r="910" spans="1:5" ht="63.75">
      <c r="A910" s="5" t="str">
        <f ca="1">IFERROR(__xludf.DUMMYFUNCTION("""COMPUTED_VALUE"""),"КР-СМК-1 Нержавейка")</f>
        <v>КР-СМК-1 Нержавейка</v>
      </c>
      <c r="B910"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10" s="9">
        <f ca="1">IFERROR(__xludf.DUMMYFUNCTION("""COMPUTED_VALUE"""),360)</f>
        <v>360</v>
      </c>
      <c r="D910" s="6"/>
      <c r="E910" s="8"/>
    </row>
    <row r="911" spans="1:5" ht="38.25">
      <c r="A911" s="5" t="str">
        <f ca="1">IFERROR(__xludf.DUMMYFUNCTION("""COMPUTED_VALUE"""),"ИО 102-54 (корпус ABS пластик БЕЛЫЙ) (ИО 102-14)")</f>
        <v>ИО 102-54 (корпус ABS пластик БЕЛЫЙ) (ИО 102-14)</v>
      </c>
      <c r="B911" s="6" t="str">
        <f ca="1">IFERROR(__xludf.DUMMYFUNCTION("""COMPUTED_VALUE"""),"Замкнут при расст. 15мм и менее, разомкнут пр расст. 45мм и более, вывод 0,2м, IP44. 35х10х10")</f>
        <v>Замкнут при расст. 15мм и менее, разомкнут пр расст. 45мм и более, вывод 0,2м, IP44. 35х10х10</v>
      </c>
      <c r="C911" s="9">
        <f ca="1">IFERROR(__xludf.DUMMYFUNCTION("""COMPUTED_VALUE"""),104)</f>
        <v>104</v>
      </c>
      <c r="D911" s="6"/>
      <c r="E911" s="8"/>
    </row>
    <row r="912" spans="1:5" ht="38.25">
      <c r="A912" s="5" t="str">
        <f ca="1">IFERROR(__xludf.DUMMYFUNCTION("""COMPUTED_VALUE"""),"ИО 102-54 (корпус ABS пластик) КОРИЧНЕВЫЙ (ИО 102-14)")</f>
        <v>ИО 102-54 (корпус ABS пластик) КОРИЧНЕВЫЙ (ИО 102-14)</v>
      </c>
      <c r="B912" s="6" t="str">
        <f ca="1">IFERROR(__xludf.DUMMYFUNCTION("""COMPUTED_VALUE"""),"Замкнут при расст. 15мм и менее, разомкнут пр расст. 45мм и более, вывод 0,2м, IP44.35х10х10")</f>
        <v>Замкнут при расст. 15мм и менее, разомкнут пр расст. 45мм и более, вывод 0,2м, IP44.35х10х10</v>
      </c>
      <c r="C912" s="9">
        <f ca="1">IFERROR(__xludf.DUMMYFUNCTION("""COMPUTED_VALUE"""),108)</f>
        <v>108</v>
      </c>
      <c r="D912" s="6"/>
      <c r="E912" s="8"/>
    </row>
    <row r="913" spans="1:5" ht="38.25">
      <c r="A913" s="5" t="str">
        <f ca="1">IFERROR(__xludf.DUMMYFUNCTION("""COMPUTED_VALUE"""),"ИО 102-52 (корпус ABS пластик БЕЛЫЙ) (СМК-1)")</f>
        <v>ИО 102-52 (корпус ABS пластик БЕЛЫЙ) (СМК-1)</v>
      </c>
      <c r="B913" s="6" t="str">
        <f ca="1">IFERROR(__xludf.DUMMYFUNCTION("""COMPUTED_VALUE"""),"Замкнут при расст. 10 мм и менее, разомкнут при расст. 20 мм и более, вывод 0,17м. 57х11х11")</f>
        <v>Замкнут при расст. 10 мм и менее, разомкнут при расст. 20 мм и более, вывод 0,17м. 57х11х11</v>
      </c>
      <c r="C913" s="9">
        <f ca="1">IFERROR(__xludf.DUMMYFUNCTION("""COMPUTED_VALUE"""),104.8)</f>
        <v>104.8</v>
      </c>
      <c r="D913" s="6"/>
      <c r="E913" s="8"/>
    </row>
    <row r="914" spans="1:5" ht="38.25">
      <c r="A914" s="5" t="str">
        <f ca="1">IFERROR(__xludf.DUMMYFUNCTION("""COMPUTED_VALUE"""),"ИО 102-52 (корпус ABS пластик) КОРИЧНЕВЫЙ (аналог СМК-1)")</f>
        <v>ИО 102-52 (корпус ABS пластик) КОРИЧНЕВЫЙ (аналог СМК-1)</v>
      </c>
      <c r="B914" s="6" t="str">
        <f ca="1">IFERROR(__xludf.DUMMYFUNCTION("""COMPUTED_VALUE"""),"Замкнут при расст. 10 мм и менее, разомкнут при расст. 20 мм и более, вывод 0,17м. 57х11х11")</f>
        <v>Замкнут при расст. 10 мм и менее, разомкнут при расст. 20 мм и более, вывод 0,17м. 57х11х11</v>
      </c>
      <c r="C914" s="9">
        <f ca="1">IFERROR(__xludf.DUMMYFUNCTION("""COMPUTED_VALUE"""),110)</f>
        <v>110</v>
      </c>
      <c r="D914" s="6"/>
      <c r="E914" s="8"/>
    </row>
    <row r="915" spans="1:5" ht="38.25">
      <c r="A915" s="5" t="str">
        <f ca="1">IFERROR(__xludf.DUMMYFUNCTION("""COMPUTED_VALUE"""),"СМК-1
 АТФЕ.425119.169")</f>
        <v>СМК-1
 АТФЕ.425119.169</v>
      </c>
      <c r="B915" s="6" t="str">
        <f ca="1">IFERROR(__xludf.DUMMYFUNCTION("""COMPUTED_VALUE"""),"Замкнут при расст. 20мм и менее, разомкнут пр расст. 45мм и более, вывод 0,17м. 57х11х11")</f>
        <v>Замкнут при расст. 20мм и менее, разомкнут пр расст. 45мм и более, вывод 0,17м. 57х11х11</v>
      </c>
      <c r="C915" s="9">
        <f ca="1">IFERROR(__xludf.DUMMYFUNCTION("""COMPUTED_VALUE"""),104.8)</f>
        <v>104.8</v>
      </c>
      <c r="D915" s="6"/>
      <c r="E915" s="8"/>
    </row>
    <row r="916" spans="1:5" ht="51">
      <c r="A916" s="5" t="str">
        <f ca="1">IFERROR(__xludf.DUMMYFUNCTION("""COMPUTED_VALUE"""),"СМК-3
 АТФЕ.425119.169")</f>
        <v>СМК-3
 АТФЕ.425119.169</v>
      </c>
      <c r="B916" s="6" t="str">
        <f ca="1">IFERROR(__xludf.DUMMYFUNCTION("""COMPUTED_VALUE"""),"Врезной, НР, замкнуты при расстоянии 5мм и менее,
 разомкнуты при расстоянии 15мм и более, длина вывода 170 мм")</f>
        <v>Врезной, НР, замкнуты при расстоянии 5мм и менее,
 разомкнуты при расстоянии 15мм и более, длина вывода 170 мм</v>
      </c>
      <c r="C916" s="9">
        <f ca="1">IFERROR(__xludf.DUMMYFUNCTION("""COMPUTED_VALUE"""),140)</f>
        <v>140</v>
      </c>
      <c r="D916" s="6"/>
      <c r="E916" s="8"/>
    </row>
    <row r="917" spans="1:5" ht="38.25">
      <c r="A917" s="5" t="str">
        <f ca="1">IFERROR(__xludf.DUMMYFUNCTION("""COMPUTED_VALUE"""),"СМК-14
 АТФЕ.425119.169")</f>
        <v>СМК-14
 АТФЕ.425119.169</v>
      </c>
      <c r="B917" s="6" t="str">
        <f ca="1">IFERROR(__xludf.DUMMYFUNCTION("""COMPUTED_VALUE"""),"Замкнут при расст. 15мм и менее, разомкнут пр расст. 45мм и более, вывод 0,2м, IP44. 35х10х10")</f>
        <v>Замкнут при расст. 15мм и менее, разомкнут пр расст. 45мм и более, вывод 0,2м, IP44. 35х10х10</v>
      </c>
      <c r="C917" s="9">
        <f ca="1">IFERROR(__xludf.DUMMYFUNCTION("""COMPUTED_VALUE"""),96)</f>
        <v>96</v>
      </c>
      <c r="D917" s="6"/>
      <c r="E917" s="8"/>
    </row>
    <row r="918" spans="1:5" ht="25.5">
      <c r="A918" s="5" t="str">
        <f ca="1">IFERROR(__xludf.DUMMYFUNCTION("""COMPUTED_VALUE"""),"СМК-4 НР 
АТФЕ.425119.169")</f>
        <v>СМК-4 НР 
АТФЕ.425119.169</v>
      </c>
      <c r="B918" s="6" t="str">
        <f ca="1">IFERROR(__xludf.DUMMYFUNCTION("""COMPUTED_VALUE"""),"Нормально-разомкнутый, вывод 0,355м, IP68")</f>
        <v>Нормально-разомкнутый, вывод 0,355м, IP68</v>
      </c>
      <c r="C918" s="9">
        <f ca="1">IFERROR(__xludf.DUMMYFUNCTION("""COMPUTED_VALUE"""),159.39)</f>
        <v>159.38999999999999</v>
      </c>
      <c r="D918" s="6"/>
      <c r="E918" s="8"/>
    </row>
    <row r="919" spans="1:5" ht="25.5">
      <c r="A919" s="5" t="str">
        <f ca="1">IFERROR(__xludf.DUMMYFUNCTION("""COMPUTED_VALUE"""),"СМК-4 НЗ 
АТФЕ.425119.169")</f>
        <v>СМК-4 НЗ 
АТФЕ.425119.169</v>
      </c>
      <c r="B919" s="6" t="str">
        <f ca="1">IFERROR(__xludf.DUMMYFUNCTION("""COMPUTED_VALUE"""),"Нормально-замкнутый, вывод 0,355м, IP68")</f>
        <v>Нормально-замкнутый, вывод 0,355м, IP68</v>
      </c>
      <c r="C919" s="9">
        <f ca="1">IFERROR(__xludf.DUMMYFUNCTION("""COMPUTED_VALUE"""),600.6)</f>
        <v>600.6</v>
      </c>
      <c r="D919" s="6"/>
      <c r="E919" s="8"/>
    </row>
    <row r="920" spans="1:5" ht="25.5">
      <c r="A920" s="5" t="str">
        <f ca="1">IFERROR(__xludf.DUMMYFUNCTION("""COMPUTED_VALUE"""),"СМК-4 П 
АТФЕ.425119.169")</f>
        <v>СМК-4 П 
АТФЕ.425119.169</v>
      </c>
      <c r="B920" s="6" t="str">
        <f ca="1">IFERROR(__xludf.DUMMYFUNCTION("""COMPUTED_VALUE"""),"Переключающий, вывод 0,355м, IP68")</f>
        <v>Переключающий, вывод 0,355м, IP68</v>
      </c>
      <c r="C920" s="9">
        <f ca="1">IFERROR(__xludf.DUMMYFUNCTION("""COMPUTED_VALUE"""),600.6)</f>
        <v>600.6</v>
      </c>
      <c r="D920" s="6"/>
      <c r="E920" s="8"/>
    </row>
    <row r="921" spans="1:5" ht="25.5">
      <c r="A921" s="5" t="str">
        <f ca="1">IFERROR(__xludf.DUMMYFUNCTION("""COMPUTED_VALUE"""),"СМК-4 ""На металл"" НР
АТФЕ.425119.169")</f>
        <v>СМК-4 "На металл" НР
АТФЕ.425119.169</v>
      </c>
      <c r="B921" s="6" t="str">
        <f ca="1">IFERROR(__xludf.DUMMYFUNCTION("""COMPUTED_VALUE"""),"Нормально-разомкнутый, вывод 0,25м, IP66/IP68")</f>
        <v>Нормально-разомкнутый, вывод 0,25м, IP66/IP68</v>
      </c>
      <c r="C921" s="9">
        <f ca="1">IFERROR(__xludf.DUMMYFUNCTION("""COMPUTED_VALUE"""),591.36)</f>
        <v>591.36</v>
      </c>
      <c r="D921" s="6"/>
      <c r="E921" s="8"/>
    </row>
    <row r="922" spans="1:5" ht="25.5">
      <c r="A922" s="5" t="str">
        <f ca="1">IFERROR(__xludf.DUMMYFUNCTION("""COMPUTED_VALUE"""),"СМК-4 ""На металл"" НЗ
АТФЕ.425119.169")</f>
        <v>СМК-4 "На металл" НЗ
АТФЕ.425119.169</v>
      </c>
      <c r="B922" s="6" t="str">
        <f ca="1">IFERROR(__xludf.DUMMYFUNCTION("""COMPUTED_VALUE"""),"Нормально-замкнутый, вывод 0,25м, IP66/IP68")</f>
        <v>Нормально-замкнутый, вывод 0,25м, IP66/IP68</v>
      </c>
      <c r="C922" s="9">
        <f ca="1">IFERROR(__xludf.DUMMYFUNCTION("""COMPUTED_VALUE"""),753.522)</f>
        <v>753.52200000000005</v>
      </c>
      <c r="D922" s="6"/>
      <c r="E922" s="8"/>
    </row>
    <row r="923" spans="1:5" ht="25.5">
      <c r="A923" s="5" t="str">
        <f ca="1">IFERROR(__xludf.DUMMYFUNCTION("""COMPUTED_VALUE"""),"СМК-4 ""На металл"" П
АТФЕ.425119.169")</f>
        <v>СМК-4 "На металл" П
АТФЕ.425119.169</v>
      </c>
      <c r="B923" s="6" t="str">
        <f ca="1">IFERROR(__xludf.DUMMYFUNCTION("""COMPUTED_VALUE"""),"Переключающий, вывод 0,25м, IP66/IP68")</f>
        <v>Переключающий, вывод 0,25м, IP66/IP68</v>
      </c>
      <c r="C923" s="9">
        <f ca="1">IFERROR(__xludf.DUMMYFUNCTION("""COMPUTED_VALUE"""),772.464)</f>
        <v>772.46400000000006</v>
      </c>
      <c r="D923" s="6"/>
      <c r="E923" s="8"/>
    </row>
    <row r="924" spans="1:5" ht="76.5">
      <c r="A924" s="5" t="str">
        <f ca="1">IFERROR(__xludf.DUMMYFUNCTION("""COMPUTED_VALUE"""),"СМК-11")</f>
        <v>СМК-11</v>
      </c>
      <c r="B924" s="6" t="str">
        <f ca="1">IFERROR(__xludf.DUMMYFUNCTION("""COMPUTED_VALUE"""),"Нормально разомкнутый (NO)
Расстояние срабатывания/отпускания на немагнитопроводящем основании, мм - 10/13
Расстояние срабатывания/отпускания на магнитопроводящем основании, мм - 5/7")</f>
        <v>Нормально разомкнутый (NO)
Расстояние срабатывания/отпускания на немагнитопроводящем основании, мм - 10/13
Расстояние срабатывания/отпускания на магнитопроводящем основании, мм - 5/7</v>
      </c>
      <c r="C924" s="9">
        <f ca="1">IFERROR(__xludf.DUMMYFUNCTION("""COMPUTED_VALUE"""),68.2)</f>
        <v>68.2</v>
      </c>
      <c r="D924" s="6"/>
      <c r="E924" s="8"/>
    </row>
    <row r="925" spans="1:5" ht="76.5">
      <c r="A925" s="5" t="str">
        <f ca="1">IFERROR(__xludf.DUMMYFUNCTION("""COMPUTED_VALUE"""),"СМК-11 усиленный")</f>
        <v>СМК-11 усиленный</v>
      </c>
      <c r="B925" s="6" t="str">
        <f ca="1">IFERROR(__xludf.DUMMYFUNCTION("""COMPUTED_VALUE"""),"Нормально разомкнутый (NO)
Расстояние срабатывания/отпускания на немагнитопроводящем основании, мм - 14/17 
Расстояние срабатывания/отпускания на магнитопроводящем основании, мм - 6/8")</f>
        <v>Нормально разомкнутый (NO)
Расстояние срабатывания/отпускания на немагнитопроводящем основании, мм - 14/17 
Расстояние срабатывания/отпускания на магнитопроводящем основании, мм - 6/8</v>
      </c>
      <c r="C925" s="9">
        <f ca="1">IFERROR(__xludf.DUMMYFUNCTION("""COMPUTED_VALUE"""),145.2)</f>
        <v>145.19999999999999</v>
      </c>
      <c r="D925" s="6"/>
      <c r="E925" s="8"/>
    </row>
    <row r="926" spans="1:5" ht="76.5">
      <c r="A926" s="5" t="str">
        <f ca="1">IFERROR(__xludf.DUMMYFUNCTION("""COMPUTED_VALUE"""),"СМК-11 исп.1")</f>
        <v>СМК-11 исп.1</v>
      </c>
      <c r="B926" s="6" t="str">
        <f ca="1">IFERROR(__xludf.DUMMYFUNCTION("""COMPUTED_VALUE"""),"Нормально замкнутый (NС)
Расстояние срабатывания/отпускания на немагнитопроводящем основании, мм - 8/10 
Расстояние срабатывания/отпускания на магнитопроводящем основании, мм - 4/5")</f>
        <v>Нормально замкнутый (NС)
Расстояние срабатывания/отпускания на немагнитопроводящем основании, мм - 8/10 
Расстояние срабатывания/отпускания на магнитопроводящем основании, мм - 4/5</v>
      </c>
      <c r="C926" s="9">
        <f ca="1">IFERROR(__xludf.DUMMYFUNCTION("""COMPUTED_VALUE"""),563.2)</f>
        <v>563.20000000000005</v>
      </c>
      <c r="D926" s="6"/>
      <c r="E926" s="8"/>
    </row>
    <row r="927" spans="1:5" ht="76.5">
      <c r="A927" s="5" t="str">
        <f ca="1">IFERROR(__xludf.DUMMYFUNCTION("""COMPUTED_VALUE"""),"СМК-11 исп.1 усиленный")</f>
        <v>СМК-11 исп.1 усиленный</v>
      </c>
      <c r="B927" s="6" t="str">
        <f ca="1">IFERROR(__xludf.DUMMYFUNCTION("""COMPUTED_VALUE"""),"Нормально замкнутый (NС)
Расстояние срабатывания/отпускания на немагнитопроводящем основании, мм - 12/15 
Расстояние срабатывания/отпускания на магнитопроводящем основании, мм - 5/6")</f>
        <v>Нормально замкнутый (NС)
Расстояние срабатывания/отпускания на немагнитопроводящем основании, мм - 12/15 
Расстояние срабатывания/отпускания на магнитопроводящем основании, мм - 5/6</v>
      </c>
      <c r="C927" s="9">
        <f ca="1">IFERROR(__xludf.DUMMYFUNCTION("""COMPUTED_VALUE"""),640.2)</f>
        <v>640.20000000000005</v>
      </c>
      <c r="D927" s="6"/>
      <c r="E927" s="8"/>
    </row>
    <row r="928" spans="1:5" ht="76.5">
      <c r="A928" s="5" t="str">
        <f ca="1">IFERROR(__xludf.DUMMYFUNCTION("""COMPUTED_VALUE"""),"СМК-11 исп.2")</f>
        <v>СМК-11 исп.2</v>
      </c>
      <c r="B928" s="6" t="str">
        <f ca="1">IFERROR(__xludf.DUMMYFUNCTION("""COMPUTED_VALUE"""),"Переключающий(NO/NС)
Расстояние срабатывания/отпускания на немагнитопроводящем основании, мм - 10/13 
Расстояние срабатывания/отпускания на магнитопроводящем основании, мм - 5/7")</f>
        <v>Переключающий(NO/NС)
Расстояние срабатывания/отпускания на немагнитопроводящем основании, мм - 10/13 
Расстояние срабатывания/отпускания на магнитопроводящем основании, мм - 5/7</v>
      </c>
      <c r="C928" s="9">
        <f ca="1">IFERROR(__xludf.DUMMYFUNCTION("""COMPUTED_VALUE"""),563.2)</f>
        <v>563.20000000000005</v>
      </c>
      <c r="D928" s="6"/>
      <c r="E928" s="8"/>
    </row>
    <row r="929" spans="1:5" ht="76.5">
      <c r="A929" s="5" t="str">
        <f ca="1">IFERROR(__xludf.DUMMYFUNCTION("""COMPUTED_VALUE"""),"СМК-11 исп.2 усиленный")</f>
        <v>СМК-11 исп.2 усиленный</v>
      </c>
      <c r="B929" s="6" t="str">
        <f ca="1">IFERROR(__xludf.DUMMYFUNCTION("""COMPUTED_VALUE"""),"Переключающий(NO/NС)
Расстояние срабатывания/отпускания на немагнитопроводящем основании, мм - 14/17
Расстояние срабатывания/отпускания на магнитопроводящем основании, мм - 6/8")</f>
        <v>Переключающий(NO/NС)
Расстояние срабатывания/отпускания на немагнитопроводящем основании, мм - 14/17
Расстояние срабатывания/отпускания на магнитопроводящем основании, мм - 6/8</v>
      </c>
      <c r="C929" s="9">
        <f ca="1">IFERROR(__xludf.DUMMYFUNCTION("""COMPUTED_VALUE"""),640.2)</f>
        <v>640.20000000000005</v>
      </c>
      <c r="D929" s="6"/>
      <c r="E929" s="8"/>
    </row>
    <row r="930" spans="1:5" ht="25.5">
      <c r="A930" s="5" t="str">
        <f ca="1">IFERROR(__xludf.DUMMYFUNCTION("""COMPUTED_VALUE"""),"СМК-20 Б2П(2)
 АТФЕ.425119.169")</f>
        <v>СМК-20 Б2П(2)
 АТФЕ.425119.169</v>
      </c>
      <c r="B930" s="6" t="str">
        <f ca="1">IFERROR(__xludf.DUMMYFUNCTION("""COMPUTED_VALUE"""),"НР, пластик , IP44, вывод 0,6м в пластиковом защитном рукаве")</f>
        <v>НР, пластик , IP44, вывод 0,6м в пластиковом защитном рукаве</v>
      </c>
      <c r="C930" s="9">
        <f ca="1">IFERROR(__xludf.DUMMYFUNCTION("""COMPUTED_VALUE"""),211.3965)</f>
        <v>211.3965</v>
      </c>
      <c r="D930" s="6"/>
      <c r="E930" s="8"/>
    </row>
    <row r="931" spans="1:5" ht="25.5">
      <c r="A931" s="5" t="str">
        <f ca="1">IFERROR(__xludf.DUMMYFUNCTION("""COMPUTED_VALUE"""),"СМК-20 А2П(2)
 АТФЕ.425119.169")</f>
        <v>СМК-20 А2П(2)
 АТФЕ.425119.169</v>
      </c>
      <c r="B931" s="6" t="str">
        <f ca="1">IFERROR(__xludf.DUMMYFUNCTION("""COMPUTED_VALUE"""),"НР, пластик , IP44, вывод 0,6м в пластиковом защитном рукаве")</f>
        <v>НР, пластик , IP44, вывод 0,6м в пластиковом защитном рукаве</v>
      </c>
      <c r="C931" s="9">
        <f ca="1">IFERROR(__xludf.DUMMYFUNCTION("""COMPUTED_VALUE"""),211.3965)</f>
        <v>211.3965</v>
      </c>
      <c r="D931" s="6"/>
      <c r="E931" s="8"/>
    </row>
    <row r="932" spans="1:5" ht="12.75">
      <c r="A932" s="5" t="str">
        <f ca="1">IFERROR(__xludf.DUMMYFUNCTION("""COMPUTED_VALUE"""),"ИО 102-2 ПГС2.409.000")</f>
        <v>ИО 102-2 ПГС2.409.000</v>
      </c>
      <c r="B932" s="6" t="str">
        <f ca="1">IFERROR(__xludf.DUMMYFUNCTION("""COMPUTED_VALUE"""),"НР, вывод 0,17м. 58х11х11")</f>
        <v>НР, вывод 0,17м. 58х11х11</v>
      </c>
      <c r="C932" s="9">
        <f ca="1">IFERROR(__xludf.DUMMYFUNCTION("""COMPUTED_VALUE"""),107)</f>
        <v>107</v>
      </c>
      <c r="D932" s="6"/>
      <c r="E932" s="8"/>
    </row>
    <row r="933" spans="1:5" ht="12.75">
      <c r="A933" s="5" t="str">
        <f ca="1">IFERROR(__xludf.DUMMYFUNCTION("""COMPUTED_VALUE"""),"ИО 102-4 ПГС2.409.001")</f>
        <v>ИО 102-4 ПГС2.409.001</v>
      </c>
      <c r="B933" s="6" t="str">
        <f ca="1">IFERROR(__xludf.DUMMYFUNCTION("""COMPUTED_VALUE"""),"НР, 30х13х6,5")</f>
        <v>НР, 30х13х6,5</v>
      </c>
      <c r="C933" s="9">
        <f ca="1">IFERROR(__xludf.DUMMYFUNCTION("""COMPUTED_VALUE"""),157)</f>
        <v>157</v>
      </c>
      <c r="D933" s="6"/>
      <c r="E933" s="8"/>
    </row>
    <row r="934" spans="1:5" ht="12.75">
      <c r="A934" s="5" t="str">
        <f ca="1">IFERROR(__xludf.DUMMYFUNCTION("""COMPUTED_VALUE"""),"ИО 102-5 ПГС2.409.002")</f>
        <v>ИО 102-5 ПГС2.409.002</v>
      </c>
      <c r="B934" s="6" t="str">
        <f ca="1">IFERROR(__xludf.DUMMYFUNCTION("""COMPUTED_VALUE"""),"Врезной, НР.")</f>
        <v>Врезной, НР.</v>
      </c>
      <c r="C934" s="9">
        <f ca="1">IFERROR(__xludf.DUMMYFUNCTION("""COMPUTED_VALUE"""),165)</f>
        <v>165</v>
      </c>
      <c r="D934" s="6"/>
      <c r="E934" s="8"/>
    </row>
    <row r="935" spans="1:5" ht="12.75">
      <c r="A935" s="5" t="str">
        <f ca="1">IFERROR(__xludf.DUMMYFUNCTION("""COMPUTED_VALUE"""),"ИО 102-15/1 СМК3 ПГС2.409.002")</f>
        <v>ИО 102-15/1 СМК3 ПГС2.409.002</v>
      </c>
      <c r="B935" s="6" t="str">
        <f ca="1">IFERROR(__xludf.DUMMYFUNCTION("""COMPUTED_VALUE"""),"Врезной, НР. Вывод 170мм")</f>
        <v>Врезной, НР. Вывод 170мм</v>
      </c>
      <c r="C935" s="9">
        <f ca="1">IFERROR(__xludf.DUMMYFUNCTION("""COMPUTED_VALUE"""),159)</f>
        <v>159</v>
      </c>
      <c r="D935" s="6"/>
      <c r="E935" s="8"/>
    </row>
    <row r="936" spans="1:5" ht="12.75">
      <c r="A936" s="5" t="str">
        <f ca="1">IFERROR(__xludf.DUMMYFUNCTION("""COMPUTED_VALUE"""),"ИО 102-15/2 ЯВАФ.425128.008")</f>
        <v>ИО 102-15/2 ЯВАФ.425128.008</v>
      </c>
      <c r="B936" s="6" t="str">
        <f ca="1">IFERROR(__xludf.DUMMYFUNCTION("""COMPUTED_VALUE"""),"Врезной, укороч.магнит. НР")</f>
        <v>Врезной, укороч.магнит. НР</v>
      </c>
      <c r="C936" s="9">
        <f ca="1">IFERROR(__xludf.DUMMYFUNCTION("""COMPUTED_VALUE"""),144)</f>
        <v>144</v>
      </c>
      <c r="D936" s="6"/>
      <c r="E936" s="8"/>
    </row>
    <row r="937" spans="1:5" ht="38.25">
      <c r="A937" s="5" t="str">
        <f ca="1">IFERROR(__xludf.DUMMYFUNCTION("""COMPUTED_VALUE"""),"ИО 102-16/1 ЯВАФ.425128.006")</f>
        <v>ИО 102-16/1 ЯВАФ.425128.006</v>
      </c>
      <c r="B937" s="6" t="str">
        <f ca="1">IFERROR(__xludf.DUMMYFUNCTION("""COMPUTED_VALUE"""),"Замкнут при расст. 8мм и менее, разомкнут пр расст. 45мм и более, 28х8х7")</f>
        <v>Замкнут при расст. 8мм и менее, разомкнут пр расст. 45мм и более, 28х8х7</v>
      </c>
      <c r="C937" s="9">
        <f ca="1">IFERROR(__xludf.DUMMYFUNCTION("""COMPUTED_VALUE"""),105)</f>
        <v>105</v>
      </c>
      <c r="D937" s="6"/>
      <c r="E937" s="8"/>
    </row>
    <row r="938" spans="1:5" ht="38.25">
      <c r="A938" s="5" t="str">
        <f ca="1">IFERROR(__xludf.DUMMYFUNCTION("""COMPUTED_VALUE"""),"ИО 102-16/2 ПГС2.409.000")</f>
        <v>ИО 102-16/2 ПГС2.409.000</v>
      </c>
      <c r="B938" s="6" t="str">
        <f ca="1">IFERROR(__xludf.DUMMYFUNCTION("""COMPUTED_VALUE"""),"Замкнут при расст. 10мм и менее, разомкнут пр расст. 45мм и более, 35х10х10")</f>
        <v>Замкнут при расст. 10мм и менее, разомкнут пр расст. 45мм и более, 35х10х10</v>
      </c>
      <c r="C938" s="9">
        <f ca="1">IFERROR(__xludf.DUMMYFUNCTION("""COMPUTED_VALUE"""),106)</f>
        <v>106</v>
      </c>
      <c r="D938" s="6"/>
      <c r="E938" s="8"/>
    </row>
    <row r="939" spans="1:5" ht="25.5">
      <c r="A939" s="5" t="str">
        <f ca="1">IFERROR(__xludf.DUMMYFUNCTION("""COMPUTED_VALUE"""),"ИО 102-21 (ВК-1)")</f>
        <v>ИО 102-21 (ВК-1)</v>
      </c>
      <c r="B939" s="6" t="str">
        <f ca="1">IFERROR(__xludf.DUMMYFUNCTION("""COMPUTED_VALUE"""),"Выключатель кнопочный, магнитоконтактный. Врезной 12мм")</f>
        <v>Выключатель кнопочный, магнитоконтактный. Врезной 12мм</v>
      </c>
      <c r="C939" s="9">
        <f ca="1">IFERROR(__xludf.DUMMYFUNCTION("""COMPUTED_VALUE"""),275)</f>
        <v>275</v>
      </c>
      <c r="D939" s="6"/>
      <c r="E939" s="8"/>
    </row>
    <row r="940" spans="1:5" ht="51">
      <c r="A940" s="5" t="str">
        <f ca="1">IFERROR(__xludf.DUMMYFUNCTION("""COMPUTED_VALUE"""),"ИО 102-47/1 ПАШК 425119.112ТУ (СМК-3) IP 55")</f>
        <v>ИО 102-47/1 ПАШК 425119.112ТУ (СМК-3) IP 55</v>
      </c>
      <c r="B940" s="6" t="str">
        <f ca="1">IFERROR(__xludf.DUMMYFUNCTION("""COMPUTED_VALUE"""),"Врезной, НР, замкнуты при расстоянии 5мм и менее,
 разомкнуты при расстоянии 15мм и более, длина вывода 170 мм")</f>
        <v>Врезной, НР, замкнуты при расстоянии 5мм и менее,
 разомкнуты при расстоянии 15мм и более, длина вывода 170 мм</v>
      </c>
      <c r="C940" s="9">
        <f ca="1">IFERROR(__xludf.DUMMYFUNCTION("""COMPUTED_VALUE"""),196.35)</f>
        <v>196.35</v>
      </c>
      <c r="D940" s="6"/>
      <c r="E940" s="8"/>
    </row>
    <row r="941" spans="1:5" ht="51">
      <c r="A941" s="5" t="str">
        <f ca="1">IFERROR(__xludf.DUMMYFUNCTION("""COMPUTED_VALUE"""),"ИО 102-47/2 ПАШК 425119.112ТУ (СМК-3) IP 55")</f>
        <v>ИО 102-47/2 ПАШК 425119.112ТУ (СМК-3) IP 55</v>
      </c>
      <c r="B941" s="6" t="str">
        <f ca="1">IFERROR(__xludf.DUMMYFUNCTION("""COMPUTED_VALUE"""),"Врезной, переключающий, замкнуты при расстоянии 4мм и менее, разомкнуты при расстоянии 8мм и более, длина вывода 170 мм")</f>
        <v>Врезной, переключающий, замкнуты при расстоянии 4мм и менее, разомкнуты при расстоянии 8мм и более, длина вывода 170 мм</v>
      </c>
      <c r="C941" s="9">
        <f ca="1">IFERROR(__xludf.DUMMYFUNCTION("""COMPUTED_VALUE"""),516.285)</f>
        <v>516.28499999999997</v>
      </c>
      <c r="D941" s="6"/>
      <c r="E941" s="8"/>
    </row>
    <row r="942" spans="1:5" ht="102">
      <c r="A942" s="5" t="str">
        <f ca="1">IFERROR(__xludf.DUMMYFUNCTION("""COMPUTED_VALUE"""),"ИО 102-47 ""Антисаботаж"" ПАШК 425119.108ТУ IP 55")</f>
        <v>ИО 102-47 "Антисаботаж" ПАШК 425119.108ТУ IP 55</v>
      </c>
      <c r="B942" s="6" t="str">
        <f ca="1">IFERROR(__xludf.DUMMYFUNCTION("""COMPUTED_VALUE"""),"Предназначен для скрытого монтажа и обнаружения изменения состояния охраняемого объекта при несанкционированных попытках вскрытия дверей, ворот, окон, сейфов. НЗ, длина вывода 200 мм. Применяется в качестве дополнительного датчика в магнитоконтактных охра"&amp;"нных системах.")</f>
        <v>Предназначен для скрытого монтажа и обнаружения изменения состояния охраняемого объекта при несанкционированных попытках вскрытия дверей, ворот, окон, сейфов. НЗ, длина вывода 200 мм. Применяется в качестве дополнительного датчика в магнитоконтактных охранных системах.</v>
      </c>
      <c r="C942" s="9">
        <f ca="1">IFERROR(__xludf.DUMMYFUNCTION("""COMPUTED_VALUE"""),590.1588)</f>
        <v>590.15880000000004</v>
      </c>
      <c r="D942" s="6"/>
      <c r="E942" s="8"/>
    </row>
    <row r="943" spans="1:5" ht="51">
      <c r="A943" s="5" t="str">
        <f ca="1">IFERROR(__xludf.DUMMYFUNCTION("""COMPUTED_VALUE"""),"ИО 102-48 исп.00 ПАШК.425119.109ПС IP 68")</f>
        <v>ИО 102-48 исп.00 ПАШК.425119.109ПС IP 68</v>
      </c>
      <c r="B943" s="6" t="str">
        <f ca="1">IFERROR(__xludf.DUMMYFUNCTION("""COMPUTED_VALUE"""),"НР, замыкаются при расстоянии 11мм и менее и размыкаются на расстоянии 16мм и более. 32х15х6,8, длина вывода датчика 355 мм.")</f>
        <v>НР, замыкаются при расстоянии 11мм и менее и размыкаются на расстоянии 16мм и более. 32х15х6,8, длина вывода датчика 355 мм.</v>
      </c>
      <c r="C943" s="9">
        <f ca="1">IFERROR(__xludf.DUMMYFUNCTION("""COMPUTED_VALUE"""),327.0267)</f>
        <v>327.02670000000001</v>
      </c>
      <c r="D943" s="6"/>
      <c r="E943" s="8"/>
    </row>
    <row r="944" spans="1:5" ht="51">
      <c r="A944" s="5" t="str">
        <f ca="1">IFERROR(__xludf.DUMMYFUNCTION("""COMPUTED_VALUE"""),"ИО 102-48 исп.01 ПАШК.425119.109ПС IP 68")</f>
        <v>ИО 102-48 исп.01 ПАШК.425119.109ПС IP 68</v>
      </c>
      <c r="B944" s="6" t="str">
        <f ca="1">IFERROR(__xludf.DUMMYFUNCTION("""COMPUTED_VALUE"""),"НЗ, размыкаются при расстоянии 8мм и менее и замыкаются на расстоянии 12мм и более. 32х15х6,8, длина вывода датчика 355 мм.")</f>
        <v>НЗ, размыкаются при расстоянии 8мм и менее и замыкаются на расстоянии 12мм и более. 32х15х6,8, длина вывода датчика 355 мм.</v>
      </c>
      <c r="C944" s="9">
        <f ca="1">IFERROR(__xludf.DUMMYFUNCTION("""COMPUTED_VALUE"""),531.6003)</f>
        <v>531.60029999999995</v>
      </c>
      <c r="D944" s="6"/>
      <c r="E944" s="8"/>
    </row>
    <row r="945" spans="1:5" ht="63.75">
      <c r="A945" s="5" t="str">
        <f ca="1">IFERROR(__xludf.DUMMYFUNCTION("""COMPUTED_VALUE"""),"ИО 102-48 исп.02 ПАШК.425119.109ПС IP 68")</f>
        <v>ИО 102-48 исп.02 ПАШК.425119.109ПС IP 68</v>
      </c>
      <c r="B945" s="6" t="str">
        <f ca="1">IFERROR(__xludf.DUMMYFUNCTION("""COMPUTED_VALUE"""),"Переключающий, переключаются при расстоянии8 мм и менее и переходят в исходное состояние на расстоянии 12 мм и более. 32х15х6,8, длина вывода датчика 355 мм.")</f>
        <v>Переключающий, переключаются при расстоянии8 мм и менее и переходят в исходное состояние на расстоянии 12 мм и более. 32х15х6,8, длина вывода датчика 355 мм.</v>
      </c>
      <c r="C945" s="9">
        <f ca="1">IFERROR(__xludf.DUMMYFUNCTION("""COMPUTED_VALUE"""),592.3533)</f>
        <v>592.35329999999999</v>
      </c>
      <c r="D945" s="6"/>
      <c r="E945" s="8"/>
    </row>
    <row r="946" spans="1:5" ht="25.5">
      <c r="A946" s="5" t="str">
        <f ca="1">IFERROR(__xludf.DUMMYFUNCTION("""COMPUTED_VALUE"""),"Д9-00-2000 АТФЕ425119.068")</f>
        <v>Д9-00-2000 АТФЕ425119.068</v>
      </c>
      <c r="B946" s="6" t="str">
        <f ca="1">IFERROR(__xludf.DUMMYFUNCTION("""COMPUTED_VALUE"""),"Магнитоуправляемый датчик для немагнитоактивных конструкций.")</f>
        <v>Магнитоуправляемый датчик для немагнитоактивных конструкций.</v>
      </c>
      <c r="C946" s="9">
        <f ca="1">IFERROR(__xludf.DUMMYFUNCTION("""COMPUTED_VALUE"""),388.9116)</f>
        <v>388.91160000000002</v>
      </c>
      <c r="D946" s="6"/>
      <c r="E946" s="8"/>
    </row>
    <row r="947" spans="1:5" ht="12.75">
      <c r="A947" s="5" t="str">
        <f ca="1">IFERROR(__xludf.DUMMYFUNCTION("""COMPUTED_VALUE"""),"ДГА-02 Датчик герконовый автотракторный")</f>
        <v>ДГА-02 Датчик герконовый автотракторный</v>
      </c>
      <c r="B947" s="6" t="str">
        <f ca="1">IFERROR(__xludf.DUMMYFUNCTION("""COMPUTED_VALUE"""),"Нормально разомкнутый. ")</f>
        <v xml:space="preserve">Нормально разомкнутый. </v>
      </c>
      <c r="C947" s="9">
        <f ca="1">IFERROR(__xludf.DUMMYFUNCTION("""COMPUTED_VALUE"""),612)</f>
        <v>612</v>
      </c>
      <c r="D947" s="6"/>
      <c r="E947" s="8"/>
    </row>
    <row r="948" spans="1:5" ht="12.75">
      <c r="A948" s="5" t="str">
        <f ca="1">IFERROR(__xludf.DUMMYFUNCTION("""COMPUTED_VALUE"""),"ДГА-03 датчик герконовый автотракторный")</f>
        <v>ДГА-03 датчик герконовый автотракторный</v>
      </c>
      <c r="B948" s="6" t="str">
        <f ca="1">IFERROR(__xludf.DUMMYFUNCTION("""COMPUTED_VALUE"""),"Нормально замкнутый")</f>
        <v>Нормально замкнутый</v>
      </c>
      <c r="C948" s="9">
        <f ca="1">IFERROR(__xludf.DUMMYFUNCTION("""COMPUTED_VALUE"""),980)</f>
        <v>980</v>
      </c>
      <c r="D948" s="6"/>
      <c r="E948" s="8"/>
    </row>
    <row r="949" spans="1:5" ht="25.5">
      <c r="A949" s="5" t="str">
        <f ca="1">IFERROR(__xludf.DUMMYFUNCTION("""COMPUTED_VALUE"""),"ИО 102-51 (НР) ПАШК.425119.125ТУ IP 66")</f>
        <v>ИО 102-51 (НР) ПАШК.425119.125ТУ IP 66</v>
      </c>
      <c r="B949" s="6" t="str">
        <f ca="1">IFERROR(__xludf.DUMMYFUNCTION("""COMPUTED_VALUE"""),"На металл, врезной, диаметр 12 мм, нормально-разомкнутый геркон")</f>
        <v>На металл, врезной, диаметр 12 мм, нормально-разомкнутый геркон</v>
      </c>
      <c r="C949" s="9">
        <f ca="1">IFERROR(__xludf.DUMMYFUNCTION("""COMPUTED_VALUE"""),199.815)</f>
        <v>199.815</v>
      </c>
      <c r="D949" s="6"/>
      <c r="E949" s="8"/>
    </row>
    <row r="950" spans="1:5" ht="25.5">
      <c r="A950" s="5" t="str">
        <f ca="1">IFERROR(__xludf.DUMMYFUNCTION("""COMPUTED_VALUE"""),"ИО 102-51 (НЗ) ПАШК.425119.125ТУ IP 66")</f>
        <v>ИО 102-51 (НЗ) ПАШК.425119.125ТУ IP 66</v>
      </c>
      <c r="B950" s="6" t="str">
        <f ca="1">IFERROR(__xludf.DUMMYFUNCTION("""COMPUTED_VALUE"""),"На металл, врезной, диаметр 12 мм, нормально-замкнутый геркон")</f>
        <v>На металл, врезной, диаметр 12 мм, нормально-замкнутый геркон</v>
      </c>
      <c r="C950" s="9">
        <f ca="1">IFERROR(__xludf.DUMMYFUNCTION("""COMPUTED_VALUE"""),539.616)</f>
        <v>539.61599999999999</v>
      </c>
      <c r="D950" s="6"/>
      <c r="E950" s="8"/>
    </row>
    <row r="951" spans="1:5" ht="25.5">
      <c r="A951" s="5" t="str">
        <f ca="1">IFERROR(__xludf.DUMMYFUNCTION("""COMPUTED_VALUE"""),"ИО 102-51 (П) ПАШК.425119.125ТУ IP 66")</f>
        <v>ИО 102-51 (П) ПАШК.425119.125ТУ IP 66</v>
      </c>
      <c r="B951" s="6" t="str">
        <f ca="1">IFERROR(__xludf.DUMMYFUNCTION("""COMPUTED_VALUE"""),"На металл, врезной, диаметр 12 мм, переключающий геркон")</f>
        <v>На металл, врезной, диаметр 12 мм, переключающий геркон</v>
      </c>
      <c r="C951" s="9">
        <f ca="1">IFERROR(__xludf.DUMMYFUNCTION("""COMPUTED_VALUE"""),586.971)</f>
        <v>586.971</v>
      </c>
      <c r="D951" s="6"/>
      <c r="E951" s="8"/>
    </row>
    <row r="952" spans="1:5" ht="12.75">
      <c r="A952" s="5" t="str">
        <f ca="1">IFERROR(__xludf.DUMMYFUNCTION("""COMPUTED_VALUE"""),"ИО 102-51 (НР+Пр) ПАШК.425119.125ТУ IP 66")</f>
        <v>ИО 102-51 (НР+Пр) ПАШК.425119.125ТУ IP 66</v>
      </c>
      <c r="B952" s="6" t="str">
        <f ca="1">IFERROR(__xludf.DUMMYFUNCTION("""COMPUTED_VALUE"""),"Нормально-разомкнутый ""Антисаботаж""")</f>
        <v>Нормально-разомкнутый "Антисаботаж"</v>
      </c>
      <c r="C952" s="9">
        <f ca="1">IFERROR(__xludf.DUMMYFUNCTION("""COMPUTED_VALUE"""),211.8165)</f>
        <v>211.81649999999999</v>
      </c>
      <c r="D952" s="6"/>
      <c r="E952" s="8"/>
    </row>
    <row r="953" spans="1:5" ht="25.5">
      <c r="A953" s="5" t="str">
        <f ca="1">IFERROR(__xludf.DUMMYFUNCTION("""COMPUTED_VALUE"""),"ИО 102-51 (НР) с магнитом в укороченном корпусе (11мм) ПАШК.425119.125ТУ IP 66")</f>
        <v>ИО 102-51 (НР) с магнитом в укороченном корпусе (11мм) ПАШК.425119.125ТУ IP 66</v>
      </c>
      <c r="B953" s="6" t="str">
        <f ca="1">IFERROR(__xludf.DUMMYFUNCTION("""COMPUTED_VALUE"""),"На металл, врезной, диаметр 12 мм, нормально-разомкнутый геркон")</f>
        <v>На металл, врезной, диаметр 12 мм, нормально-разомкнутый геркон</v>
      </c>
      <c r="C953" s="9">
        <f ca="1">IFERROR(__xludf.DUMMYFUNCTION("""COMPUTED_VALUE"""),384.11835)</f>
        <v>384.11835000000002</v>
      </c>
      <c r="D953" s="6"/>
      <c r="E953" s="8"/>
    </row>
    <row r="954" spans="1:5" ht="25.5">
      <c r="A954" s="5" t="str">
        <f ca="1">IFERROR(__xludf.DUMMYFUNCTION("""COMPUTED_VALUE"""),"ИО 102-51 (НЗ) с магнитом в укороченном корпусе (11мм) ПАШК.425119.125ТУ IP 66")</f>
        <v>ИО 102-51 (НЗ) с магнитом в укороченном корпусе (11мм) ПАШК.425119.125ТУ IP 66</v>
      </c>
      <c r="B954" s="6" t="str">
        <f ca="1">IFERROR(__xludf.DUMMYFUNCTION("""COMPUTED_VALUE"""),"На металл, врезной, диаметр 12 мм, нормально-замкнутый геркон")</f>
        <v>На металл, врезной, диаметр 12 мм, нормально-замкнутый геркон</v>
      </c>
      <c r="C954" s="9">
        <f ca="1">IFERROR(__xludf.DUMMYFUNCTION("""COMPUTED_VALUE"""),609.55125)</f>
        <v>609.55124999999998</v>
      </c>
      <c r="D954" s="6"/>
      <c r="E954" s="8"/>
    </row>
    <row r="955" spans="1:5" ht="25.5">
      <c r="A955" s="5" t="str">
        <f ca="1">IFERROR(__xludf.DUMMYFUNCTION("""COMPUTED_VALUE"""),"ИО 102-51 (П) с магнитом в укороченном корпусе (11мм) ПАШК.425119.125ТУ IP 66")</f>
        <v>ИО 102-51 (П) с магнитом в укороченном корпусе (11мм) ПАШК.425119.125ТУ IP 66</v>
      </c>
      <c r="B955" s="6" t="str">
        <f ca="1">IFERROR(__xludf.DUMMYFUNCTION("""COMPUTED_VALUE"""),"На металл, врезной, диаметр 12 мм, переключающий геркон")</f>
        <v>На металл, врезной, диаметр 12 мм, переключающий геркон</v>
      </c>
      <c r="C955" s="9">
        <f ca="1">IFERROR(__xludf.DUMMYFUNCTION("""COMPUTED_VALUE"""),616.539)</f>
        <v>616.53899999999999</v>
      </c>
      <c r="D955" s="6"/>
      <c r="E955" s="8"/>
    </row>
    <row r="956" spans="1:5" ht="25.5">
      <c r="A956" s="5" t="str">
        <f ca="1">IFERROR(__xludf.DUMMYFUNCTION("""COMPUTED_VALUE"""),"ИО 102-51 (НР+Пр) с магнитом в укороченном корпусе (11мм) ПАШК.425119.125ТУ IP 66")</f>
        <v>ИО 102-51 (НР+Пр) с магнитом в укороченном корпусе (11мм) ПАШК.425119.125ТУ IP 66</v>
      </c>
      <c r="B956" s="6" t="str">
        <f ca="1">IFERROR(__xludf.DUMMYFUNCTION("""COMPUTED_VALUE"""),"Нормально-разомкнутый ""Антисаботаж""")</f>
        <v>Нормально-разомкнутый "Антисаботаж"</v>
      </c>
      <c r="C956" s="9">
        <f ca="1">IFERROR(__xludf.DUMMYFUNCTION("""COMPUTED_VALUE"""),386.925)</f>
        <v>386.92500000000001</v>
      </c>
      <c r="D956" s="6"/>
      <c r="E956" s="8"/>
    </row>
    <row r="957" spans="1:5" ht="51">
      <c r="A957" s="5" t="str">
        <f ca="1">IFERROR(__xludf.DUMMYFUNCTION("""COMPUTED_VALUE"""),"СМК-6
 АТФЕ.425119.169")</f>
        <v>СМК-6
 АТФЕ.425119.169</v>
      </c>
      <c r="B957" s="6" t="str">
        <f ca="1">IFERROR(__xludf.DUMMYFUNCTION("""COMPUTED_VALUE"""),"Для металлическ.поверхн, врезной. Замкнут при расст. 7мм (или 10мм), разомкнут при расст. 45мм и более, вывод 170мм.")</f>
        <v>Для металлическ.поверхн, врезной. Замкнут при расст. 7мм (или 10мм), разомкнут при расст. 45мм и более, вывод 170мм.</v>
      </c>
      <c r="C957" s="9">
        <f ca="1">IFERROR(__xludf.DUMMYFUNCTION("""COMPUTED_VALUE"""),312.455)</f>
        <v>312.45499999999998</v>
      </c>
      <c r="D957" s="6"/>
      <c r="E957" s="8"/>
    </row>
    <row r="958" spans="1:5" ht="25.5">
      <c r="A958" s="5" t="str">
        <f ca="1">IFERROR(__xludf.DUMMYFUNCTION("""COMPUTED_VALUE"""),"ИО 102-6 ПГС2.409.007")</f>
        <v>ИО 102-6 ПГС2.409.007</v>
      </c>
      <c r="B958" s="6" t="str">
        <f ca="1">IFERROR(__xludf.DUMMYFUNCTION("""COMPUTED_VALUE"""),"Для металлическ.поверхн. c толщиной металла не более 0,5мм, врезной. НР")</f>
        <v>Для металлическ.поверхн. c толщиной металла не более 0,5мм, врезной. НР</v>
      </c>
      <c r="C958" s="9">
        <f ca="1">IFERROR(__xludf.DUMMYFUNCTION("""COMPUTED_VALUE"""),312.455)</f>
        <v>312.45499999999998</v>
      </c>
      <c r="D958" s="6"/>
      <c r="E958" s="8"/>
    </row>
    <row r="959" spans="1:5" ht="38.25">
      <c r="A959" s="5" t="str">
        <f ca="1">IFERROR(__xludf.DUMMYFUNCTION("""COMPUTED_VALUE"""),"ИО 102-6П ПАШК.425119.040")</f>
        <v>ИО 102-6П ПАШК.425119.040</v>
      </c>
      <c r="B959" s="6" t="str">
        <f ca="1">IFERROR(__xludf.DUMMYFUNCTION("""COMPUTED_VALUE"""),"Для металлическ.поверхн. c толщиной металла не более 0,5мм, врезной. Переключающий")</f>
        <v>Для металлическ.поверхн. c толщиной металла не более 0,5мм, врезной. Переключающий</v>
      </c>
      <c r="C959" s="9">
        <f ca="1">IFERROR(__xludf.DUMMYFUNCTION("""COMPUTED_VALUE"""),1164.053)</f>
        <v>1164.0530000000001</v>
      </c>
      <c r="D959" s="6"/>
      <c r="E959" s="8"/>
    </row>
    <row r="960" spans="1:5" ht="63.75">
      <c r="A960" s="5" t="str">
        <f ca="1">IFERROR(__xludf.DUMMYFUNCTION("""COMPUTED_VALUE"""),"ИО 102-6 FRHF")</f>
        <v>ИО 102-6 FRHF</v>
      </c>
      <c r="B960" s="6" t="str">
        <f ca="1">IFERROR(__xludf.DUMMYFUNCTION("""COMPUTED_VALUE"""),"Для металлическ.поверхн. c толщиной металла 
 не более 0,5мм, врезной. НР, вывод- огнестойкий безгалогенный FRHF провод 2х2х0,2 в двойной изоляции, 350мм")</f>
        <v>Для металлическ.поверхн. c толщиной металла 
 не более 0,5мм, врезной. НР, вывод- огнестойкий безгалогенный FRHF провод 2х2х0,2 в двойной изоляции, 350мм</v>
      </c>
      <c r="C960" s="9">
        <f ca="1">IFERROR(__xludf.DUMMYFUNCTION("""COMPUTED_VALUE"""),460)</f>
        <v>460</v>
      </c>
      <c r="D960" s="6"/>
      <c r="E960" s="8"/>
    </row>
    <row r="961" spans="1:5" ht="76.5">
      <c r="A961" s="5" t="str">
        <f ca="1">IFERROR(__xludf.DUMMYFUNCTION("""COMPUTED_VALUE"""),"ИО 102-6П АВТО")</f>
        <v>ИО 102-6П АВТО</v>
      </c>
      <c r="B961" s="6" t="str">
        <f ca="1">IFERROR(__xludf.DUMMYFUNCTION("""COMPUTED_VALUE"""),"Для металлическ.поверхн. c толщиной металла
 не более 0,5мм, врезной, НР, вывод - ударопрочный, масло-бензостойкий кабель 2х0,7 в двойной изоляции, 350мм.")</f>
        <v>Для металлическ.поверхн. c толщиной металла
 не более 0,5мм, врезной, НР, вывод - ударопрочный, масло-бензостойкий кабель 2х0,7 в двойной изоляции, 350мм.</v>
      </c>
      <c r="C961" s="9">
        <f ca="1">IFERROR(__xludf.DUMMYFUNCTION("""COMPUTED_VALUE"""),1164.05)</f>
        <v>1164.05</v>
      </c>
      <c r="D961" s="6"/>
      <c r="E961" s="8"/>
    </row>
    <row r="962" spans="1:5" ht="51">
      <c r="A962" s="5" t="str">
        <f ca="1">IFERROR(__xludf.DUMMYFUNCTION("""COMPUTED_VALUE"""),"ИО 102-39 исп.000 ПАШК.425119.052ТУ")</f>
        <v>ИО 102-39 исп.000 ПАШК.425119.052ТУ</v>
      </c>
      <c r="B962" s="6" t="str">
        <f ca="1">IFERROR(__xludf.DUMMYFUNCTION("""COMPUTED_VALUE"""),"НР, вывод 1000 мм, двойная изоляция, максимальная рабочая температура 120 град., врезка в металл толщиной 2 мм, IP 68")</f>
        <v>НР, вывод 1000 мм, двойная изоляция, максимальная рабочая температура 120 град., врезка в металл толщиной 2 мм, IP 68</v>
      </c>
      <c r="C962" s="9">
        <f ca="1">IFERROR(__xludf.DUMMYFUNCTION("""COMPUTED_VALUE"""),1090.03785)</f>
        <v>1090.0378499999999</v>
      </c>
      <c r="D962" s="6"/>
      <c r="E962" s="8"/>
    </row>
    <row r="963" spans="1:5" ht="76.5">
      <c r="A963" s="5" t="str">
        <f ca="1">IFERROR(__xludf.DUMMYFUNCTION("""COMPUTED_VALUE"""),"ИО 102-39 исп.00 (белый) ПАШК425119.052")</f>
        <v>ИО 102-39 исп.00 (белый) ПАШК425119.052</v>
      </c>
      <c r="B963" s="6" t="str">
        <f ca="1">IFERROR(__xludf.DUMMYFUNCTION("""COMPUTED_VALUE"""),"Извещатель охранный на метал.конструкции с толщиной металла более 0,5 мм, врезной. Расст.срабатывания на металле не менее 22 мм, на дереве и пластике 35мм,длина вывода 1,5 м. НР")</f>
        <v>Извещатель охранный на метал.конструкции с толщиной металла более 0,5 мм, врезной. Расст.срабатывания на металле не менее 22 мм, на дереве и пластике 35мм,длина вывода 1,5 м. НР</v>
      </c>
      <c r="C963" s="9">
        <f ca="1">IFERROR(__xludf.DUMMYFUNCTION("""COMPUTED_VALUE"""),989)</f>
        <v>989</v>
      </c>
      <c r="D963" s="6"/>
      <c r="E963" s="8"/>
    </row>
    <row r="964" spans="1:5" ht="63.75">
      <c r="A964" s="5" t="str">
        <f ca="1">IFERROR(__xludf.DUMMYFUNCTION("""COMPUTED_VALUE"""),"ИО 102-39 исп. 00 (чёрный) ПАШК425119.052")</f>
        <v>ИО 102-39 исп. 00 (чёрный) ПАШК425119.052</v>
      </c>
      <c r="B964" s="6" t="str">
        <f ca="1">IFERROR(__xludf.DUMMYFUNCTION("""COMPUTED_VALUE"""),"Извещатель охранный на метал.констр. с толщиной металла более 0,5мм , врезной, расст.срабатывания на металле не менее 22 мм, на дереве и пластике 35 мм, дл.вывода 1,5м")</f>
        <v>Извещатель охранный на метал.констр. с толщиной металла более 0,5мм , врезной, расст.срабатывания на металле не менее 22 мм, на дереве и пластике 35 мм, дл.вывода 1,5м</v>
      </c>
      <c r="C964" s="9">
        <f ca="1">IFERROR(__xludf.DUMMYFUNCTION("""COMPUTED_VALUE"""),1022.35)</f>
        <v>1022.35</v>
      </c>
      <c r="D964" s="6"/>
      <c r="E964" s="8"/>
    </row>
    <row r="965" spans="1:5" ht="76.5">
      <c r="A965" s="5" t="str">
        <f ca="1">IFERROR(__xludf.DUMMYFUNCTION("""COMPUTED_VALUE"""),"ИО 102-39 исп.01 (белый) ПАШК425119.052")</f>
        <v>ИО 102-39 исп.01 (белый) ПАШК425119.052</v>
      </c>
      <c r="B965" s="6" t="str">
        <f ca="1">IFERROR(__xludf.DUMMYFUNCTION("""COMPUTED_VALUE"""),"Извещатель охранный на метал.конструкции с толщиной металла более 0,5мм ,врезной. С переключающим герконом, Расст.срабатывания на металле не менее 13 мм, на дереве и пластике 18мм, длина вывода 1,5 м")</f>
        <v>Извещатель охранный на метал.конструкции с толщиной металла более 0,5мм ,врезной. С переключающим герконом, Расст.срабатывания на металле не менее 13 мм, на дереве и пластике 18мм, длина вывода 1,5 м</v>
      </c>
      <c r="C965" s="9">
        <f ca="1">IFERROR(__xludf.DUMMYFUNCTION("""COMPUTED_VALUE"""),2041.25)</f>
        <v>2041.25</v>
      </c>
      <c r="D965" s="6"/>
      <c r="E965" s="8"/>
    </row>
    <row r="966" spans="1:5" ht="89.25">
      <c r="A966" s="5" t="str">
        <f ca="1">IFERROR(__xludf.DUMMYFUNCTION("""COMPUTED_VALUE"""),"ИО 102-39 исп.01 (чёрный) ПАШК425119.052")</f>
        <v>ИО 102-39 исп.01 (чёрный) ПАШК425119.052</v>
      </c>
      <c r="B966" s="6" t="str">
        <f ca="1">IFERROR(__xludf.DUMMYFUNCTION("""COMPUTED_VALUE"""),"Извещатель охранный на метал.конструкции с толщиной металла более 0,5 мм, врезной, с переключающим герконом, расст.срабатывания на металле 13мм, на дереве и пластике 18 мм, длина вывода 1,5м.")</f>
        <v>Извещатель охранный на метал.конструкции с толщиной металла более 0,5 мм, врезной, с переключающим герконом, расст.срабатывания на металле 13мм, на дереве и пластике 18 мм, длина вывода 1,5м.</v>
      </c>
      <c r="C966" s="9">
        <f ca="1">IFERROR(__xludf.DUMMYFUNCTION("""COMPUTED_VALUE"""),2073.45)</f>
        <v>2073.4499999999998</v>
      </c>
      <c r="D966" s="6"/>
      <c r="E966" s="8"/>
    </row>
    <row r="967" spans="1:5" ht="102">
      <c r="A967" s="5" t="str">
        <f ca="1">IFERROR(__xludf.DUMMYFUNCTION("""COMPUTED_VALUE"""),"ИО 102-39/29 ПАШК.425119.052")</f>
        <v>ИО 102-39/29 ПАШК.425119.052</v>
      </c>
      <c r="B967" s="6" t="str">
        <f ca="1">IFERROR(__xludf.DUMMYFUNCTION("""COMPUTED_VALUE"""),"Извещатель охранный на метал.конструкции с толщиной металла более 0,5 мм,  Комбинированный — врезной датчик/накладной магнит. Нормально разомкнутый.  Расстояние срабатывания на металле не менее 10мм, на дереве и пластике 15мм, длина вывода 1,5 м. ")</f>
        <v xml:space="preserve">Извещатель охранный на метал.конструкции с толщиной металла более 0,5 мм,  Комбинированный — врезной датчик/накладной магнит. Нормально разомкнутый.  Расстояние срабатывания на металле не менее 10мм, на дереве и пластике 15мм, длина вывода 1,5 м. </v>
      </c>
      <c r="C967" s="9">
        <f ca="1">IFERROR(__xludf.DUMMYFUNCTION("""COMPUTED_VALUE"""),989)</f>
        <v>989</v>
      </c>
      <c r="D967" s="6"/>
      <c r="E967" s="8"/>
    </row>
    <row r="968" spans="1:5" ht="102">
      <c r="A968" s="5" t="str">
        <f ca="1">IFERROR(__xludf.DUMMYFUNCTION("""COMPUTED_VALUE"""),"ИО 102-39/29 П ПАШК.425119.052")</f>
        <v>ИО 102-39/29 П ПАШК.425119.052</v>
      </c>
      <c r="B968" s="6" t="str">
        <f ca="1">IFERROR(__xludf.DUMMYFUNCTION("""COMPUTED_VALUE"""),"Извещатель охранный на метал.конструкции с толщиной металла более 0,5мм.  Комбинированный — врезной датчик/накладной магнит. С переключающим герконом. Расстояние срабатывания на металле не менее 6 мм, на дереве и пластике 10мм, длина вывода 1,5 м")</f>
        <v>Извещатель охранный на метал.конструкции с толщиной металла более 0,5мм.  Комбинированный — врезной датчик/накладной магнит. С переключающим герконом. Расстояние срабатывания на металле не менее 6 мм, на дереве и пластике 10мм, длина вывода 1,5 м</v>
      </c>
      <c r="C968" s="9">
        <f ca="1">IFERROR(__xludf.DUMMYFUNCTION("""COMPUTED_VALUE"""),2042)</f>
        <v>2042</v>
      </c>
      <c r="D968" s="6"/>
      <c r="E968" s="8"/>
    </row>
    <row r="969" spans="1:5" ht="89.25">
      <c r="A969" s="5" t="str">
        <f ca="1">IFERROR(__xludf.DUMMYFUNCTION("""COMPUTED_VALUE"""),"ИО 102-39 исп.00 FRHF ПАШК425119.052")</f>
        <v>ИО 102-39 исп.00 FRHF ПАШК425119.052</v>
      </c>
      <c r="B969" s="6" t="str">
        <f ca="1">IFERROR(__xludf.DUMMYFUNCTION("""COMPUTED_VALUE"""),"На метал.конструкции с толщиной металла более 0,5 мм, врезной. Расст.срабатывания на металле не менее 22 мм, на дереве и пластике 35мм,НР, вывод- огнестойкий безгалогенный FRHF провод 2х2х0,2 в двойной изоляции, 350мм")</f>
        <v>На метал.конструкции с толщиной металла более 0,5 мм, врезной. Расст.срабатывания на металле не менее 22 мм, на дереве и пластике 35мм,НР, вывод- огнестойкий безгалогенный FRHF провод 2х2х0,2 в двойной изоляции, 350мм</v>
      </c>
      <c r="C969" s="9">
        <f ca="1">IFERROR(__xludf.DUMMYFUNCTION("""COMPUTED_VALUE"""),1140)</f>
        <v>1140</v>
      </c>
      <c r="D969" s="6"/>
      <c r="E969" s="8"/>
    </row>
    <row r="970" spans="1:5" ht="89.25">
      <c r="A970" s="5" t="str">
        <f ca="1">IFERROR(__xludf.DUMMYFUNCTION("""COMPUTED_VALUE"""),"ИО 102-39 исп. 00 АВТО ПАШК425119.052")</f>
        <v>ИО 102-39 исп. 00 АВТО ПАШК425119.052</v>
      </c>
      <c r="B970" s="6" t="str">
        <f ca="1">IFERROR(__xludf.DUMMYFUNCTION("""COMPUTED_VALUE"""),"Извещатель охранный на метал.констр. с Толщиной металла более 0,5мм , врезной, расст.срабатывания на металле не менее 22 мм, на дереве и пластике 35 мм, вывод - ударопрочный, масло-бензостойкий кабель 2х0,7 в двойной изоляции, 350мм.")</f>
        <v>Извещатель охранный на метал.констр. с Толщиной металла более 0,5мм , врезной, расст.срабатывания на металле не менее 22 мм, на дереве и пластике 35 мм, вывод - ударопрочный, масло-бензостойкий кабель 2х0,7 в двойной изоляции, 350мм.</v>
      </c>
      <c r="C970" s="9">
        <f ca="1">IFERROR(__xludf.DUMMYFUNCTION("""COMPUTED_VALUE"""),1240)</f>
        <v>1240</v>
      </c>
      <c r="D970" s="6"/>
      <c r="E970" s="8"/>
    </row>
    <row r="971" spans="1:5" ht="25.5">
      <c r="A971" s="5" t="str">
        <f ca="1">IFERROR(__xludf.DUMMYFUNCTION("""COMPUTED_VALUE"""),"ИО 102-59 исп.00 ПАШК.425119.131ТУ")</f>
        <v>ИО 102-59 исп.00 ПАШК.425119.131ТУ</v>
      </c>
      <c r="B971" s="6" t="str">
        <f ca="1">IFERROR(__xludf.DUMMYFUNCTION("""COMPUTED_VALUE"""),"НР, корпус из нержавеющей стали марки 12Х18Н10Т, вывод 0,5м, IP68")</f>
        <v>НР, корпус из нержавеющей стали марки 12Х18Н10Т, вывод 0,5м, IP68</v>
      </c>
      <c r="C971" s="9">
        <f ca="1">IFERROR(__xludf.DUMMYFUNCTION("""COMPUTED_VALUE"""),5190.9)</f>
        <v>5190.8999999999996</v>
      </c>
      <c r="D971" s="6"/>
      <c r="E971" s="8"/>
    </row>
    <row r="972" spans="1:5" ht="38.25">
      <c r="A972" s="5" t="str">
        <f ca="1">IFERROR(__xludf.DUMMYFUNCTION("""COMPUTED_VALUE"""),"ИО 102-59 исп.02 ПАШК.425119.131ТУ")</f>
        <v>ИО 102-59 исп.02 ПАШК.425119.131ТУ</v>
      </c>
      <c r="B972" s="6" t="str">
        <f ca="1">IFERROR(__xludf.DUMMYFUNCTION("""COMPUTED_VALUE"""),"Переключающий, корпус из нержавеющей стали марки 12Х18Н10Т, вывод 0,5м, IP68")</f>
        <v>Переключающий, корпус из нержавеющей стали марки 12Х18Н10Т, вывод 0,5м, IP68</v>
      </c>
      <c r="C972" s="9">
        <f ca="1">IFERROR(__xludf.DUMMYFUNCTION("""COMPUTED_VALUE"""),6229.08)</f>
        <v>6229.08</v>
      </c>
      <c r="D972" s="6"/>
      <c r="E972" s="8"/>
    </row>
    <row r="973" spans="1:5" ht="51">
      <c r="A973" s="5" t="str">
        <f ca="1">IFERROR(__xludf.DUMMYFUNCTION("""COMPUTED_VALUE"""),"ИО102-555 НР ПАШК.425119.111ТУ")</f>
        <v>ИО102-555 НР ПАШК.425119.111ТУ</v>
      </c>
      <c r="B973" s="6" t="str">
        <f ca="1">IFERROR(__xludf.DUMMYFUNCTION("""COMPUTED_VALUE"""),"Пластиковый корпус. Нормально разомкнутый. Вывод 180мм, КСПВГ 2х0,2. Расстояние срабатывания 20мм. Расстояние восстановления 45мм")</f>
        <v>Пластиковый корпус. Нормально разомкнутый. Вывод 180мм, КСПВГ 2х0,2. Расстояние срабатывания 20мм. Расстояние восстановления 45мм</v>
      </c>
      <c r="C973" s="9">
        <f ca="1">IFERROR(__xludf.DUMMYFUNCTION("""COMPUTED_VALUE"""),245)</f>
        <v>245</v>
      </c>
      <c r="D973" s="6"/>
      <c r="E973" s="8"/>
    </row>
    <row r="974" spans="1:5" ht="51">
      <c r="A974" s="5" t="str">
        <f ca="1">IFERROR(__xludf.DUMMYFUNCTION("""COMPUTED_VALUE"""),"ИО102-555 2НР ПАШК.425119.111ТУ")</f>
        <v>ИО102-555 2НР ПАШК.425119.111ТУ</v>
      </c>
      <c r="B974" s="6" t="str">
        <f ca="1">IFERROR(__xludf.DUMMYFUNCTION("""COMPUTED_VALUE"""),"Пластиковый корпус. 2 геркона. Нормально разомкнутый. Вывод 180мм, КСПВГ 4х0,2. Расстояние срабатывания 20мм. Расстояние восстановления 45мм")</f>
        <v>Пластиковый корпус. 2 геркона. Нормально разомкнутый. Вывод 180мм, КСПВГ 4х0,2. Расстояние срабатывания 20мм. Расстояние восстановления 45мм</v>
      </c>
      <c r="C974" s="9">
        <f ca="1">IFERROR(__xludf.DUMMYFUNCTION("""COMPUTED_VALUE"""),304.535)</f>
        <v>304.53500000000003</v>
      </c>
      <c r="D974" s="6"/>
      <c r="E974" s="8"/>
    </row>
    <row r="975" spans="1:5" ht="89.25">
      <c r="A975" s="5" t="str">
        <f ca="1">IFERROR(__xludf.DUMMYFUNCTION("""COMPUTED_VALUE"""),"ИО102-555 НР+ТШ ПАШК.425119.111ТУ")</f>
        <v>ИО102-555 НР+ТШ ПАШК.425119.111ТУ</v>
      </c>
      <c r="B975" s="6" t="str">
        <f ca="1">IFERROR(__xludf.DUMMYFUNCTION("""COMPUTED_VALUE"""),"Пластиковый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Расстояние восстановления 45мм")</f>
        <v>Пластиковый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Расстояние восстановления 45мм</v>
      </c>
      <c r="C975" s="9">
        <f ca="1">IFERROR(__xludf.DUMMYFUNCTION("""COMPUTED_VALUE"""),253.319)</f>
        <v>253.31899999999999</v>
      </c>
      <c r="D975" s="6"/>
      <c r="E975" s="8"/>
    </row>
    <row r="976" spans="1:5" ht="51">
      <c r="A976" s="5" t="str">
        <f ca="1">IFERROR(__xludf.DUMMYFUNCTION("""COMPUTED_VALUE"""),"ИО102-555 П ПАШК.425119.111ТУ")</f>
        <v>ИО102-555 П ПАШК.425119.111ТУ</v>
      </c>
      <c r="B976" s="6" t="str">
        <f ca="1">IFERROR(__xludf.DUMMYFUNCTION("""COMPUTED_VALUE"""),"Пластиковый корпус. Переключающий. Вывод 180мм, КСПВГ 3х0,2. Расстояние срабатывания 15мм. Расстояние восстановления 35мм")</f>
        <v>Пластиковый корпус. Переключающий. Вывод 180мм, КСПВГ 3х0,2. Расстояние срабатывания 15мм. Расстояние восстановления 35мм</v>
      </c>
      <c r="C976" s="9">
        <f ca="1">IFERROR(__xludf.DUMMYFUNCTION("""COMPUTED_VALUE"""),602.8)</f>
        <v>602.79999999999995</v>
      </c>
      <c r="D976" s="6"/>
      <c r="E976" s="8"/>
    </row>
    <row r="977" spans="1:5" ht="38.25">
      <c r="A977" s="5" t="str">
        <f ca="1">IFERROR(__xludf.DUMMYFUNCTION("""COMPUTED_VALUE"""),"ИО102-555 (Al) НР ПАШК.425119.111ТУ")</f>
        <v>ИО102-555 (Al) НР ПАШК.425119.111ТУ</v>
      </c>
      <c r="B977" s="6" t="str">
        <f ca="1">IFERROR(__xludf.DUMMYFUNCTION("""COMPUTED_VALUE"""),"Алюминиевый корпус, нормально разомкнутый. Вывод 180мм, КСПВГ 2х0,2. Расстояние срабатывания 20мм. ")</f>
        <v>Алюминиевый корпус, нормально разомкнутый. Вывод 180мм, КСПВГ 2х0,2. Расстояние срабатывания 20мм. </v>
      </c>
      <c r="C977" s="9">
        <f ca="1">IFERROR(__xludf.DUMMYFUNCTION("""COMPUTED_VALUE"""),732.6)</f>
        <v>732.6</v>
      </c>
      <c r="D977" s="6"/>
      <c r="E977" s="8"/>
    </row>
    <row r="978" spans="1:5" ht="51">
      <c r="A978" s="5" t="str">
        <f ca="1">IFERROR(__xludf.DUMMYFUNCTION("""COMPUTED_VALUE"""),"ИО102-555 (Al) 2НР ПАШК.425119.111ТУ")</f>
        <v>ИО102-555 (Al) 2НР ПАШК.425119.111ТУ</v>
      </c>
      <c r="B978" s="6" t="str">
        <f ca="1">IFERROR(__xludf.DUMMYFUNCTION("""COMPUTED_VALUE"""),"Алюминиевый корпус,. 2 геркона, нормально разомкнутый. Вывод 180мм, КСПВГ 4х0,2. Расстояние срабатывания 20мм. ")</f>
        <v>Алюминиевый корпус,. 2 геркона, нормально разомкнутый. Вывод 180мм, КСПВГ 4х0,2. Расстояние срабатывания 20мм. </v>
      </c>
      <c r="C978" s="9">
        <f ca="1">IFERROR(__xludf.DUMMYFUNCTION("""COMPUTED_VALUE"""),794.2)</f>
        <v>794.2</v>
      </c>
      <c r="D978" s="6"/>
      <c r="E978" s="8"/>
    </row>
    <row r="979" spans="1:5" ht="76.5">
      <c r="A979" s="5" t="str">
        <f ca="1">IFERROR(__xludf.DUMMYFUNCTION("""COMPUTED_VALUE"""),"ИО102-555 (Al) НР+ТШ ПАШК.425119.111ТУ")</f>
        <v>ИО102-555 (Al) НР+ТШ ПАШК.425119.111ТУ</v>
      </c>
      <c r="B979" s="6" t="str">
        <f ca="1">IFERROR(__xludf.DUMMYFUNCTION("""COMPUTED_VALUE"""),"Алюминиевый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f>
        <v>Алюминиевый корпус. Нормально разомкнутый. Вывод 180мм, 4 провода: 2 провода НВ-0,2 тамперный (антисаботажный) шлейф; 2 провода НВ-0,2 вывод геркона. Расстояние срабатывания 20мм. </v>
      </c>
      <c r="C979" s="9">
        <f ca="1">IFERROR(__xludf.DUMMYFUNCTION("""COMPUTED_VALUE"""),754.6)</f>
        <v>754.6</v>
      </c>
      <c r="D979" s="6"/>
      <c r="E979" s="8"/>
    </row>
    <row r="980" spans="1:5" ht="38.25">
      <c r="A980" s="5" t="str">
        <f ca="1">IFERROR(__xludf.DUMMYFUNCTION("""COMPUTED_VALUE"""),"ИО102-555 (Al) П ПАШК.425119.111ТУ")</f>
        <v>ИО102-555 (Al) П ПАШК.425119.111ТУ</v>
      </c>
      <c r="B980" s="6" t="str">
        <f ca="1">IFERROR(__xludf.DUMMYFUNCTION("""COMPUTED_VALUE"""),"Алюминиевый корпус. Переключающий. Вывод 180мм, КСПВГ 3х0,2. Расстояние срабатывания 15мм. ")</f>
        <v>Алюминиевый корпус. Переключающий. Вывод 180мм, КСПВГ 3х0,2. Расстояние срабатывания 15мм. </v>
      </c>
      <c r="C980" s="9">
        <f ca="1">IFERROR(__xludf.DUMMYFUNCTION("""COMPUTED_VALUE"""),926.2)</f>
        <v>926.2</v>
      </c>
      <c r="D980" s="6"/>
      <c r="E980" s="8"/>
    </row>
    <row r="981" spans="1:5" ht="25.5">
      <c r="A981" s="5" t="str">
        <f ca="1">IFERROR(__xludf.DUMMYFUNCTION("""COMPUTED_VALUE"""),"СК555 АТФЕ.425119.119")</f>
        <v>СК555 АТФЕ.425119.119</v>
      </c>
      <c r="B981" s="6" t="str">
        <f ca="1">IFERROR(__xludf.DUMMYFUNCTION("""COMPUTED_VALUE"""),"Датчик положения, пластиковый корпус, Нормально разомкнутый")</f>
        <v>Датчик положения, пластиковый корпус, Нормально разомкнутый</v>
      </c>
      <c r="C981" s="9">
        <f ca="1">IFERROR(__xludf.DUMMYFUNCTION("""COMPUTED_VALUE"""),278.575)</f>
        <v>278.57499999999999</v>
      </c>
      <c r="D981" s="6"/>
      <c r="E981" s="8"/>
    </row>
    <row r="982" spans="1:5" ht="51">
      <c r="A982" s="5" t="str">
        <f ca="1">IFERROR(__xludf.DUMMYFUNCTION("""COMPUTED_VALUE"""),"СК555 (Al) АТФЕ.425119.119")</f>
        <v>СК555 (Al) АТФЕ.425119.119</v>
      </c>
      <c r="B982" s="6" t="str">
        <f ca="1">IFERROR(__xludf.DUMMYFUNCTION("""COMPUTED_VALUE"""),"Датчик положения, усиленный алюминиевый корпус, Нормально разомкнутый. Расстояние срабатывания 20 мм.")</f>
        <v>Датчик положения, усиленный алюминиевый корпус, Нормально разомкнутый. Расстояние срабатывания 20 мм.</v>
      </c>
      <c r="C982" s="9">
        <f ca="1">IFERROR(__xludf.DUMMYFUNCTION("""COMPUTED_VALUE"""),1584)</f>
        <v>1584</v>
      </c>
      <c r="D982" s="6"/>
      <c r="E982" s="8"/>
    </row>
    <row r="983" spans="1:5" ht="38.25">
      <c r="A983" s="5" t="str">
        <f ca="1">IFERROR(__xludf.DUMMYFUNCTION("""COMPUTED_VALUE"""),"ДП 102-2 ПАШК.425119.045")</f>
        <v>ДП 102-2 ПАШК.425119.045</v>
      </c>
      <c r="B983" s="6" t="str">
        <f ca="1">IFERROR(__xludf.DUMMYFUNCTION("""COMPUTED_VALUE"""),"Переклечен при расст. 8мм и менее, не переключен при расст. 45мм и более, 58х11х11")</f>
        <v>Переклечен при расст. 8мм и менее, не переключен при расст. 45мм и более, 58х11х11</v>
      </c>
      <c r="C983" s="9">
        <f ca="1">IFERROR(__xludf.DUMMYFUNCTION("""COMPUTED_VALUE"""),1117.776)</f>
        <v>1117.7760000000001</v>
      </c>
      <c r="D983" s="6"/>
      <c r="E983" s="8"/>
    </row>
    <row r="984" spans="1:5" ht="76.5">
      <c r="A984" s="5" t="str">
        <f ca="1">IFERROR(__xludf.DUMMYFUNCTION("""COMPUTED_VALUE"""),"ДП 102-4 НЗ ПАШК.425119.055")</f>
        <v>ДП 102-4 НЗ ПАШК.425119.055</v>
      </c>
      <c r="B984" s="6" t="str">
        <f ca="1">IFERROR(__xludf.DUMMYFUNCTION("""COMPUTED_VALUE"""),"2-х блочный (блок магнитов во взрывозащищенном корпусе ИО 102-26/В «Аякс» 0ExiaIICT6, блок датчика в корпусе ИО 102-4). Контакты разомкнуты при расстоянии 20мм, замкнуты на расстоянии 40мм и более.")</f>
        <v>2-х блочный (блок магнитов во взрывозащищенном корпусе ИО 102-26/В «Аякс» 0ExiaIICT6, блок датчика в корпусе ИО 102-4). Контакты разомкнуты при расстоянии 20мм, замкнуты на расстоянии 40мм и более.</v>
      </c>
      <c r="C984" s="9">
        <f ca="1">IFERROR(__xludf.DUMMYFUNCTION("""COMPUTED_VALUE"""),1108.602)</f>
        <v>1108.6020000000001</v>
      </c>
      <c r="D984" s="6"/>
      <c r="E984" s="8"/>
    </row>
    <row r="985" spans="1:5" ht="114.75">
      <c r="A985" s="5" t="str">
        <f ca="1">IFERROR(__xludf.DUMMYFUNCTION("""COMPUTED_VALUE"""),"Кронштейн К-26 для монтажа извещателей охранных ИО 102-26 АТФЕ.687434.185 ТУ")</f>
        <v>Кронштейн К-26 для монтажа извещателей охранных ИО 102-26 АТФЕ.687434.185 ТУ</v>
      </c>
      <c r="B985" s="6" t="str">
        <f ca="1">IFERROR(__xludf.DUMMYFUNCTION("""COMPUTED_VALUE"""),"для изменения положения при монтаже блока магнита или блока датчика извещателей ИО 102-26 (исп.00,01,02,03,04,05), ИО 102-26/В ""АЯКС"" (исп.10,20,30,40),  ИО 102-26 ""Змея"" (исп.06,07), ИО 102-26 ""Гефест"" (исп.08,09). Позволяет изменить положение одно"&amp;"го из блоков на 90 град. Нержавеющая сталь толщиной 1,5 мм")</f>
        <v>для изменения положения при монтаже блока магнита или блока датчика извещателей ИО 102-26 (исп.00,01,02,03,04,05), ИО 102-26/В "АЯКС" (исп.10,20,30,40),  ИО 102-26 "Змея" (исп.06,07), ИО 102-26 "Гефест" (исп.08,09). Позволяет изменить положение одного из блоков на 90 град. Нержавеющая сталь толщиной 1,5 мм</v>
      </c>
      <c r="C985" s="9">
        <f ca="1">IFERROR(__xludf.DUMMYFUNCTION("""COMPUTED_VALUE"""),462.462)</f>
        <v>462.46199999999999</v>
      </c>
      <c r="D985" s="6"/>
      <c r="E985" s="8"/>
    </row>
    <row r="986" spans="1:5" ht="63.75">
      <c r="A986" s="5" t="str">
        <f ca="1">IFERROR(__xludf.DUMMYFUNCTION("""COMPUTED_VALUE"""),"КР-26 АЯКС Нержавейка")</f>
        <v>КР-26 АЯКС Нержавейка</v>
      </c>
      <c r="B986"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86" s="9">
        <f ca="1">IFERROR(__xludf.DUMMYFUNCTION("""COMPUTED_VALUE"""),620)</f>
        <v>620</v>
      </c>
      <c r="D986" s="6"/>
      <c r="E986" s="8"/>
    </row>
    <row r="987" spans="1:5" ht="63.75">
      <c r="A987" s="5" t="str">
        <f ca="1">IFERROR(__xludf.DUMMYFUNCTION("""COMPUTED_VALUE"""),"Кронштейн К-26-100/200 для монтажа извещателей охранных ИО 102-26 исп. 100, 200 АТФЕ.687434.185 ТУ")</f>
        <v>Кронштейн К-26-100/200 для монтажа извещателей охранных ИО 102-26 исп. 100, 200 АТФЕ.687434.185 ТУ</v>
      </c>
      <c r="B987" s="6" t="str">
        <f ca="1">IFERROR(__xludf.DUMMYFUNCTION("""COMPUTED_VALUE"""),"для изменения положения при монтаже блока магнита или блока датчика магнитоконтактных извещателей ИО 102-26 (исп. 100, 200) к поверхностям охраняемых конструкций.")</f>
        <v>для изменения положения при монтаже блока магнита или блока датчика магнитоконтактных извещателей ИО 102-26 (исп. 100, 200) к поверхностям охраняемых конструкций.</v>
      </c>
      <c r="C987" s="9">
        <f ca="1">IFERROR(__xludf.DUMMYFUNCTION("""COMPUTED_VALUE"""),669.9)</f>
        <v>669.9</v>
      </c>
      <c r="D987" s="6"/>
      <c r="E987" s="8"/>
    </row>
    <row r="988" spans="1:5" ht="63.75">
      <c r="A988" s="5" t="str">
        <f ca="1">IFERROR(__xludf.DUMMYFUNCTION("""COMPUTED_VALUE"""),"КР-26-100/200 АЯКС Нержавейка")</f>
        <v>КР-26-100/200 АЯКС Нержавейка</v>
      </c>
      <c r="B988" s="6"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988" s="9">
        <f ca="1">IFERROR(__xludf.DUMMYFUNCTION("""COMPUTED_VALUE"""),830)</f>
        <v>830</v>
      </c>
      <c r="D988" s="6"/>
      <c r="E988" s="8"/>
    </row>
    <row r="989" spans="1:5" ht="51">
      <c r="A989" s="5" t="str">
        <f ca="1">IFERROR(__xludf.DUMMYFUNCTION("""COMPUTED_VALUE"""),"ИО 102-26 исп.00 ""АЯКС"" Основной цвет корпуса белый. По согласованию с заказчиком возможна поставка серо-металлического и черного цвета. ПАШК.425119.008")</f>
        <v>ИО 102-26 исп.00 "АЯКС" Основной цвет корпуса белый. По согласованию с заказчиком возможна поставка серо-металлического и черного цвета. ПАШК.425119.008</v>
      </c>
      <c r="B989"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89" s="9">
        <f ca="1">IFERROR(__xludf.DUMMYFUNCTION("""COMPUTED_VALUE"""),378)</f>
        <v>378</v>
      </c>
      <c r="D989" s="6"/>
      <c r="E989" s="8"/>
    </row>
    <row r="990" spans="1:5" ht="51">
      <c r="A990" s="5" t="str">
        <f ca="1">IFERROR(__xludf.DUMMYFUNCTION("""COMPUTED_VALUE"""),"ИО 102-26 исп.00 ""АЯКС"" цвет корпуса КОРИЧНЕВЫЙ ПАШК.425119.008")</f>
        <v>ИО 102-26 исп.00 "АЯКС" цвет корпуса КОРИЧНЕВЫЙ ПАШК.425119.008</v>
      </c>
      <c r="B990"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90" s="9">
        <f ca="1">IFERROR(__xludf.DUMMYFUNCTION("""COMPUTED_VALUE"""),378)</f>
        <v>378</v>
      </c>
      <c r="D990" s="6"/>
      <c r="E990" s="8"/>
    </row>
    <row r="991" spans="1:5" ht="51">
      <c r="A991" s="5" t="str">
        <f ca="1">IFERROR(__xludf.DUMMYFUNCTION("""COMPUTED_VALUE"""),"ИО 102-26 исп.00 ""АЯКС"" цвет корпуса ТЕРРАКОТОВЫЙ ПАШК.425119.008")</f>
        <v>ИО 102-26 исп.00 "АЯКС" цвет корпуса ТЕРРАКОТОВЫЙ ПАШК.425119.008</v>
      </c>
      <c r="B991" s="6" t="str">
        <f ca="1">IFERROR(__xludf.DUMMYFUNCTION("""COMPUTED_VALUE"""),"Датчик для установки на металл НР, вывод- провод в двойной изоляции 350мм. С увеличенным расстоянием срабатывания плюс 30 руб.")</f>
        <v>Датчик для установки на металл НР, вывод- провод в двойной изоляции 350мм. С увеличенным расстоянием срабатывания плюс 30 руб.</v>
      </c>
      <c r="C991" s="9">
        <f ca="1">IFERROR(__xludf.DUMMYFUNCTION("""COMPUTED_VALUE"""),378)</f>
        <v>378</v>
      </c>
      <c r="D991" s="6"/>
      <c r="E991" s="8"/>
    </row>
    <row r="992" spans="1:5" ht="25.5">
      <c r="A992" s="5" t="str">
        <f ca="1">IFERROR(__xludf.DUMMYFUNCTION("""COMPUTED_VALUE"""),"ИО 102-26 исп.00 2хНР ""АЯКС"" ПАШК.425119.008")</f>
        <v>ИО 102-26 исп.00 2хНР "АЯКС" ПАШК.425119.008</v>
      </c>
      <c r="B992" s="6" t="str">
        <f ca="1">IFERROR(__xludf.DUMMYFUNCTION("""COMPUTED_VALUE"""),"Два геркона. Контакты нормально разомкнуты.")</f>
        <v>Два геркона. Контакты нормально разомкнуты.</v>
      </c>
      <c r="C992" s="9">
        <f ca="1">IFERROR(__xludf.DUMMYFUNCTION("""COMPUTED_VALUE"""),793)</f>
        <v>793</v>
      </c>
      <c r="D992" s="6"/>
      <c r="E992" s="8"/>
    </row>
    <row r="993" spans="1:5" ht="63.75">
      <c r="A993" s="5" t="str">
        <f ca="1">IFERROR(__xludf.DUMMYFUNCTION("""COMPUTED_VALUE"""),"ИО 102-26 исп.01 ""АЯКС"" Основной цвет корпуса белый. По согласованию с заказчиком возможна поставка серо-металлического и черного цвета. ПАШК.425119.008")</f>
        <v>ИО 102-26 исп.01 "АЯКС" Основной цвет корпуса белый. По согласованию с заказчиком возможна поставка серо-металлического и черного цвета. ПАШК.425119.008</v>
      </c>
      <c r="B993" s="6" t="str">
        <f ca="1">IFERROR(__xludf.DUMMYFUNCTION("""COMPUTED_VALUE"""),"Датчик для установки на металл НР, внутренний разъём.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внутренний разъём. С увеличенным расстоянием срабатывания плюс 30 руб. Возможно изготовление датчиков серого и коричневого цветов (плюс 3 руб).</v>
      </c>
      <c r="C993" s="9">
        <f ca="1">IFERROR(__xludf.DUMMYFUNCTION("""COMPUTED_VALUE"""),534.45)</f>
        <v>534.45000000000005</v>
      </c>
      <c r="D993" s="6"/>
      <c r="E993" s="8"/>
    </row>
    <row r="994" spans="1:5" ht="76.5">
      <c r="A994" s="5" t="str">
        <f ca="1">IFERROR(__xludf.DUMMYFUNCTION("""COMPUTED_VALUE"""),"ИО 102-26 исп.01/1 ""Аякс"" ПАШК.425119.008")</f>
        <v>ИО 102-26 исп.01/1 "Аякс" ПАШК.425119.008</v>
      </c>
      <c r="B994" s="6" t="str">
        <f ca="1">IFERROR(__xludf.DUMMYFUNCTION("""COMPUTED_VALUE"""),"Датчик для установки на металл НР, две винтовые клеммы, винт М3 (0.5-2,5мм.кв)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две винтовые клеммы, винт М3 (0.5-2,5мм.кв) С увеличенным расстоянием срабатывания плюс 30 руб. Возможно изготовление датчиков серого и коричневого цветов (плюс 3 руб)</v>
      </c>
      <c r="C994" s="9">
        <f ca="1">IFERROR(__xludf.DUMMYFUNCTION("""COMPUTED_VALUE"""),742.35)</f>
        <v>742.35</v>
      </c>
      <c r="D994" s="6"/>
      <c r="E994" s="8"/>
    </row>
    <row r="995" spans="1:5" ht="76.5">
      <c r="A995" s="5" t="str">
        <f ca="1">IFERROR(__xludf.DUMMYFUNCTION("""COMPUTED_VALUE"""),"ИО 102-26 исп.01/2 ""Аякс"" ПАШК.425119.008")</f>
        <v>ИО 102-26 исп.01/2 "Аякс" ПАШК.425119.008</v>
      </c>
      <c r="B995" s="6" t="str">
        <f ca="1">IFERROR(__xludf.DUMMYFUNCTION("""COMPUTED_VALUE"""),"Датчик для установки на металл НР, две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 две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v>
      </c>
      <c r="C995" s="9">
        <f ca="1">IFERROR(__xludf.DUMMYFUNCTION("""COMPUTED_VALUE"""),829.5)</f>
        <v>829.5</v>
      </c>
      <c r="D995" s="6"/>
      <c r="E995" s="8"/>
    </row>
    <row r="996" spans="1:5" ht="76.5">
      <c r="A996" s="5" t="str">
        <f ca="1">IFERROR(__xludf.DUMMYFUNCTION("""COMPUTED_VALUE"""),"ИО 102-26 исп.02 ""АЯКС"" Основной цвет корпуса белый. По согласованию с заказчиком возможна поставка серо-металлического и черного цвета. ПАШК.425119.008")</f>
        <v>ИО 102-26 исп.02 "АЯКС" Основной цвет корпуса белый. По согласованию с заказчиком возможна поставка серо-металлического и черного цвета. ПАШК.425119.008</v>
      </c>
      <c r="B996" s="6" t="str">
        <f ca="1">IFERROR(__xludf.DUMMYFUNCTION("""COMPUTED_VALUE"""),"Датчик для установки на металл, переключающий, провод в двойной изоляции 350мм.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провод в двойной изоляции 350мм. С увеличенным расстоянием срабатывания плюс 30 руб. Возможно изготовление датчиков серого и коричневого цветов (плюс 3 руб)</v>
      </c>
      <c r="C996" s="9">
        <f ca="1">IFERROR(__xludf.DUMMYFUNCTION("""COMPUTED_VALUE"""),1457.4)</f>
        <v>1457.4</v>
      </c>
      <c r="D996" s="6"/>
      <c r="E996" s="8"/>
    </row>
    <row r="997" spans="1:5" ht="76.5">
      <c r="A997" s="5" t="str">
        <f ca="1">IFERROR(__xludf.DUMMYFUNCTION("""COMPUTED_VALUE"""),"ИО 102-26 исп.03 ""АЯКС"" Основной цвет корпуса белый. По согласованию с заказчиком возможна поставка серо-металлического и черного цвета. ПАШК.425119.008")</f>
        <v>ИО 102-26 исп.03 "АЯКС" Основной цвет корпуса белый. По согласованию с заказчиком возможна поставка серо-металлического и черного цвета. ПАШК.425119.008</v>
      </c>
      <c r="B997" s="6" t="str">
        <f ca="1">IFERROR(__xludf.DUMMYFUNCTION("""COMPUTED_VALUE"""),"Датчик для установки на металл, переключающий, внутренний разъём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внутренний разъём С увеличенным расстоянием срабатывания плюс 30 руб. Возможно изготовление датчиков серого и коричневого цветов (плюс 3 руб)</v>
      </c>
      <c r="C997" s="9">
        <f ca="1">IFERROR(__xludf.DUMMYFUNCTION("""COMPUTED_VALUE"""),1433.25)</f>
        <v>1433.25</v>
      </c>
      <c r="D997" s="6"/>
      <c r="E997" s="8"/>
    </row>
    <row r="998" spans="1:5" ht="76.5">
      <c r="A998" s="5" t="str">
        <f ca="1">IFERROR(__xludf.DUMMYFUNCTION("""COMPUTED_VALUE"""),"ИО 102-26 исп.03/1 ""АЯКС"" ПАШК.425119.008")</f>
        <v>ИО 102-26 исп.03/1 "АЯКС" ПАШК.425119.008</v>
      </c>
      <c r="B998" s="6" t="str">
        <f ca="1">IFERROR(__xludf.DUMMYFUNCTION("""COMPUTED_VALUE"""),"Датчик для установки на металл, переключающий, три винтовые клеммы, винт М3 (0,5-2,5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три винтовые клеммы, винт М3 (0,5-2,5 мм.кв.) С увеличенным расстоянием срабатывания плюс 30 руб. Возможно изготовление датчиков серого и коричневого цветов (плюс 3 руб)</v>
      </c>
      <c r="C998" s="9">
        <f ca="1">IFERROR(__xludf.DUMMYFUNCTION("""COMPUTED_VALUE"""),1757.4018)</f>
        <v>1757.4018000000001</v>
      </c>
      <c r="D998" s="6"/>
      <c r="E998" s="8"/>
    </row>
    <row r="999" spans="1:5" ht="89.25">
      <c r="A999" s="5" t="str">
        <f ca="1">IFERROR(__xludf.DUMMYFUNCTION("""COMPUTED_VALUE"""),"ИО 102-26 исп.03/2 ""АЯКС"" ПАШК.425119.008")</f>
        <v>ИО 102-26 исп.03/2 "АЯКС" ПАШК.425119.008</v>
      </c>
      <c r="B999" s="6" t="str">
        <f ca="1">IFERROR(__xludf.DUMMYFUNCTION("""COMPUTED_VALUE"""),"Датчик для установки на металл, переключающий, три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три клеммы экспрессмонтажа (Wago) (0,2-0,75 мм.кв.) С увеличенным расстоянием срабатывания плюс 30 руб. Возможно изготовление датчиков серого и коричневого цветов (плюс 3 руб)</v>
      </c>
      <c r="C999" s="9">
        <f ca="1">IFERROR(__xludf.DUMMYFUNCTION("""COMPUTED_VALUE"""),1878.2148)</f>
        <v>1878.2148</v>
      </c>
      <c r="D999" s="6"/>
      <c r="E999" s="8"/>
    </row>
    <row r="1000" spans="1:5" ht="76.5">
      <c r="A1000" s="5" t="str">
        <f ca="1">IFERROR(__xludf.DUMMYFUNCTION("""COMPUTED_VALUE"""),"ИО 102-26 исп.04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f>
        <v>ИО 102-26 исп.04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v>
      </c>
      <c r="B1000" s="6" t="str">
        <f ca="1">IFERROR(__xludf.DUMMYFUNCTION("""COMPUTED_VALUE"""),"Датчик для установки на металл НР(норм. разомкн.)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НР(норм. разомкн.)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v>
      </c>
      <c r="C1000" s="9">
        <f ca="1">IFERROR(__xludf.DUMMYFUNCTION("""COMPUTED_VALUE"""),561.75)</f>
        <v>561.75</v>
      </c>
      <c r="D1000" s="6"/>
      <c r="E1000" s="8"/>
    </row>
    <row r="1001" spans="1:5" ht="89.25">
      <c r="A1001" s="5" t="str">
        <f ca="1">IFERROR(__xludf.DUMMYFUNCTION("""COMPUTED_VALUE"""),"ИО 102-26 исп.04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f>
        <v>ИО 102-26 исп.04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v>
      </c>
      <c r="B1001" s="6" t="str">
        <f ca="1">IFERROR(__xludf.DUMMYFUNCTION("""COMPUTED_VALUE"""),"Датчик для установки на металл НР(норм. разомкн.)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НР(норм. разомкн.)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v>
      </c>
      <c r="C1001" s="9">
        <f ca="1">IFERROR(__xludf.DUMMYFUNCTION("""COMPUTED_VALUE"""),784.35)</f>
        <v>784.35</v>
      </c>
      <c r="D1001" s="6"/>
      <c r="E1001" s="8"/>
    </row>
    <row r="1002" spans="1:5" ht="76.5">
      <c r="A1002" s="5" t="str">
        <f ca="1">IFERROR(__xludf.DUMMYFUNCTION("""COMPUTED_VALUE"""),"ИО 102-26 исп.05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f>
        <v>ИО 102-26 исп.05 "АЯКС" металлорукав из оцинкованной стали Основной цвет корпуса белый. По согласованию с заказчиком возможна поставка серо-металлического и черного цвета. ПАШК.425119.008</v>
      </c>
      <c r="B1002" s="6" t="str">
        <f ca="1">IFERROR(__xludf.DUMMYFUNCTION("""COMPUTED_VALUE"""),"Датчик для установки на металл переключающий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оцинкованный металлорукав 700мм. С увеличенным расстоянием срабатывания плюс 30 руб. Возможно изготовление датчиков серого и коричневого цветов (плюс 3 руб)</v>
      </c>
      <c r="C1002" s="9">
        <f ca="1">IFERROR(__xludf.DUMMYFUNCTION("""COMPUTED_VALUE"""),1506.75)</f>
        <v>1506.75</v>
      </c>
      <c r="D1002" s="6"/>
      <c r="E1002" s="8"/>
    </row>
    <row r="1003" spans="1:5" ht="89.25">
      <c r="A1003" s="5" t="str">
        <f ca="1">IFERROR(__xludf.DUMMYFUNCTION("""COMPUTED_VALUE"""),"ИО 102-26 исп.05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f>
        <v>ИО 102-26 исп.05 "АЯКС" металлорукав из нержавеющей стали Основной цвет корпуса белый. По согласованию с заказчиком возможна поставка серо-металлического и черного цвета. ПАШК.425119.008</v>
      </c>
      <c r="B1003" s="6" t="str">
        <f ca="1">IFERROR(__xludf.DUMMYFUNCTION("""COMPUTED_VALUE"""),"Датчик для установки на металл переключающий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f>
        <v>Датчик для установки на металл переключающий металлорукав из нержавеющей стали 700мм. С увеличенным расстоянием срабатывания плюс 30 руб. Возможно изготовление датчиков серого и коричневого цветов (плюс 3 руб)</v>
      </c>
      <c r="C1003" s="9">
        <f ca="1">IFERROR(__xludf.DUMMYFUNCTION("""COMPUTED_VALUE"""),1691.55)</f>
        <v>1691.55</v>
      </c>
      <c r="D1003" s="6"/>
      <c r="E1003" s="8"/>
    </row>
    <row r="1004" spans="1:5" ht="63.75">
      <c r="A1004" s="5" t="str">
        <f ca="1">IFERROR(__xludf.DUMMYFUNCTION("""COMPUTED_VALUE"""),"ИО 102-26 исп.06 ""Змея"" металлорукав из оцинкованной стали ПАШК.425119.038")</f>
        <v>ИО 102-26 исп.06 "Змея" металлорукав из оцинкованной стали ПАШК.425119.038</v>
      </c>
      <c r="B1004" s="6" t="str">
        <f ca="1">IFERROR(__xludf.DUMMYFUNCTION("""COMPUTED_VALUE"""),"Датчик для установки на металл НР оцинкованный металлорукав 700мм. НАПОЛЬНЫЙ. Возможно изготовление датчиков серого и коричневого цветов (плюс 3 руб)")</f>
        <v>Датчик для установки на металл НР оцинкованный металлорукав 700мм. НАПОЛЬНЫЙ. Возможно изготовление датчиков серого и коричневого цветов (плюс 3 руб)</v>
      </c>
      <c r="C1004" s="9">
        <f ca="1">IFERROR(__xludf.DUMMYFUNCTION("""COMPUTED_VALUE"""),509.355)</f>
        <v>509.35500000000002</v>
      </c>
      <c r="D1004" s="6"/>
      <c r="E1004" s="8"/>
    </row>
    <row r="1005" spans="1:5" ht="63.75">
      <c r="A1005" s="5" t="str">
        <f ca="1">IFERROR(__xludf.DUMMYFUNCTION("""COMPUTED_VALUE"""),"ИО 102-26 исп.06 ""Змея"" металлорукав из нержавеющей стали ПАШК.425119.038")</f>
        <v>ИО 102-26 исп.06 "Змея" металлорукав из нержавеющей стали ПАШК.425119.038</v>
      </c>
      <c r="B1005" s="6" t="str">
        <f ca="1">IFERROR(__xludf.DUMMYFUNCTION("""COMPUTED_VALUE"""),"Датчик для установки на металл НР металлорукав из нержавеющей стали 700мм. НАПОЛЬНЫЙ. Возможно изготовление датчиков серого и коричневого цветов (плюс 3 руб)")</f>
        <v>Датчик для установки на металл НР металлорукав из нержавеющей стали 700мм. НАПОЛЬНЫЙ. Возможно изготовление датчиков серого и коричневого цветов (плюс 3 руб)</v>
      </c>
      <c r="C1005" s="9">
        <f ca="1">IFERROR(__xludf.DUMMYFUNCTION("""COMPUTED_VALUE"""),731.85)</f>
        <v>731.85</v>
      </c>
      <c r="D1005" s="6"/>
      <c r="E1005" s="8"/>
    </row>
    <row r="1006" spans="1:5" ht="63.75">
      <c r="A1006" s="5" t="str">
        <f ca="1">IFERROR(__xludf.DUMMYFUNCTION("""COMPUTED_VALUE"""),"ИО 102-26 исп.07 ""Змея"" металлорукав из оцинкованной стали ПАШК.425119.038")</f>
        <v>ИО 102-26 исп.07 "Змея" металлорукав из оцинкованной стали ПАШК.425119.038</v>
      </c>
      <c r="B1006" s="6" t="str">
        <f ca="1">IFERROR(__xludf.DUMMYFUNCTION("""COMPUTED_VALUE"""),"Датчик для установки на металл перек. Оцинкованный металлорук. 700мм. НАПОЛЬНЫЙ. Переключающий геркон. Возможно изготовление датчиков серого и коричневого цветов (плюс 3 руб)")</f>
        <v>Датчик для установки на металл перек. Оцинкованный металлорук. 700мм. НАПОЛЬНЫЙ. Переключающий геркон. Возможно изготовление датчиков серого и коричневого цветов (плюс 3 руб)</v>
      </c>
      <c r="C1006" s="9">
        <f ca="1">IFERROR(__xludf.DUMMYFUNCTION("""COMPUTED_VALUE"""),1438.5)</f>
        <v>1438.5</v>
      </c>
      <c r="D1006" s="6"/>
      <c r="E1006" s="8"/>
    </row>
    <row r="1007" spans="1:5" ht="63.75">
      <c r="A1007" s="5" t="str">
        <f ca="1">IFERROR(__xludf.DUMMYFUNCTION("""COMPUTED_VALUE"""),"ИО 102-26 исп.07 ""Змея"" металлорукав из нержавеющей стали ПАШК.425119.038")</f>
        <v>ИО 102-26 исп.07 "Змея" металлорукав из нержавеющей стали ПАШК.425119.038</v>
      </c>
      <c r="B1007" s="6" t="str">
        <f ca="1">IFERROR(__xludf.DUMMYFUNCTION("""COMPUTED_VALUE"""),"Датчик для установки на металл перек. металлорукав из нержавеющей стали 700мм. НАПОЛЬНЫЙ. Переключающий геркон. Возможно изготовление датчиков серого и коричневого цветов (плюс 3 руб)")</f>
        <v>Датчик для установки на металл перек. металлорукав из нержавеющей стали 700мм. НАПОЛЬНЫЙ. Переключающий геркон. Возможно изготовление датчиков серого и коричневого цветов (плюс 3 руб)</v>
      </c>
      <c r="C1007" s="9">
        <f ca="1">IFERROR(__xludf.DUMMYFUNCTION("""COMPUTED_VALUE"""),1753.5)</f>
        <v>1753.5</v>
      </c>
      <c r="D1007" s="6"/>
      <c r="E1007" s="8"/>
    </row>
    <row r="1008" spans="1:5" ht="51">
      <c r="A1008" s="5" t="str">
        <f ca="1">IFERROR(__xludf.DUMMYFUNCTION("""COMPUTED_VALUE"""),"ИО 102-26 исп.08 ""Гефест"" ПАШК.425119.039")</f>
        <v>ИО 102-26 исп.08 "Гефест" ПАШК.425119.039</v>
      </c>
      <c r="B1008" s="6" t="str">
        <f ca="1">IFERROR(__xludf.DUMMYFUNCTION("""COMPUTED_VALUE"""),"Комутация напр.220В,мощность коммут. до 450В. Возможно изготовление датчиков серого и коричневого цветов (плюс 3 руб)")</f>
        <v>Комутация напр.220В,мощность коммут. до 450В. Возможно изготовление датчиков серого и коричневого цветов (плюс 3 руб)</v>
      </c>
      <c r="C1008" s="9">
        <f ca="1">IFERROR(__xludf.DUMMYFUNCTION("""COMPUTED_VALUE"""),4950.75)</f>
        <v>4950.75</v>
      </c>
      <c r="D1008" s="6"/>
      <c r="E1008" s="8"/>
    </row>
    <row r="1009" spans="1:5" ht="51">
      <c r="A1009" s="5" t="str">
        <f ca="1">IFERROR(__xludf.DUMMYFUNCTION("""COMPUTED_VALUE"""),"ИО 102-26 исп.09 ""Гефест"" ПАШК.425119.039")</f>
        <v>ИО 102-26 исп.09 "Гефест" ПАШК.425119.039</v>
      </c>
      <c r="B1009" s="6" t="str">
        <f ca="1">IFERROR(__xludf.DUMMYFUNCTION("""COMPUTED_VALUE"""),"Переключающий, напр. 220В, мощность до 450В. Переключающий. Возможно изготовление датчиков серого и коричневого цветов (плюс 3 руб)")</f>
        <v>Переключающий, напр. 220В, мощность до 450В. Переключающий. Возможно изготовление датчиков серого и коричневого цветов (плюс 3 руб)</v>
      </c>
      <c r="C1009" s="9">
        <f ca="1">IFERROR(__xludf.DUMMYFUNCTION("""COMPUTED_VALUE"""),6426)</f>
        <v>6426</v>
      </c>
      <c r="D1009" s="6"/>
      <c r="E1009" s="8"/>
    </row>
    <row r="1010" spans="1:5" ht="51">
      <c r="A1010" s="5" t="str">
        <f ca="1">IFERROR(__xludf.DUMMYFUNCTION("""COMPUTED_VALUE"""),"ИО 102-26 исп. 80 ""АЯКС"" ПАШК.425119.008")</f>
        <v>ИО 102-26 исп. 80 "АЯКС" ПАШК.425119.008</v>
      </c>
      <c r="B1010" s="6" t="str">
        <f ca="1">IFERROR(__xludf.DUMMYFUNCTION("""COMPUTED_VALUE"""),"Для установки на металл, НР, вывод- огнестойкий безгалогенный FRHF провод 2х2х0,2 в двойной изоляции, 350мм. Расстояние срабатывания 25 мм")</f>
        <v>Для установки на металл, НР, вывод- огнестойкий безгалогенный FRHF провод 2х2х0,2 в двойной изоляции, 350мм. Расстояние срабатывания 25 мм</v>
      </c>
      <c r="C1010" s="9">
        <f ca="1">IFERROR(__xludf.DUMMYFUNCTION("""COMPUTED_VALUE"""),440)</f>
        <v>440</v>
      </c>
      <c r="D1010" s="6"/>
      <c r="E1010" s="8"/>
    </row>
    <row r="1011" spans="1:5" ht="51">
      <c r="A1011" s="5" t="str">
        <f ca="1">IFERROR(__xludf.DUMMYFUNCTION("""COMPUTED_VALUE"""),"ИО 102-26 исп. 90 ""АЯКС"" ПАШК.425119.008")</f>
        <v>ИО 102-26 исп. 90 "АЯКС" ПАШК.425119.008</v>
      </c>
      <c r="B1011" s="6" t="str">
        <f ca="1">IFERROR(__xludf.DUMMYFUNCTION("""COMPUTED_VALUE"""),"Для установки на металл, НР, вывод - ударопрочный, масло-бензостойкий кабель 2х0,7 в двойной изоляции, 350мм. Расстояние срабатывания 25 мм")</f>
        <v>Для установки на металл, НР, вывод - ударопрочный, масло-бензостойкий кабель 2х0,7 в двойной изоляции, 350мм. Расстояние срабатывания 25 мм</v>
      </c>
      <c r="C1011" s="9">
        <f ca="1">IFERROR(__xludf.DUMMYFUNCTION("""COMPUTED_VALUE"""),630)</f>
        <v>630</v>
      </c>
      <c r="D1011" s="6"/>
      <c r="E1011" s="8"/>
    </row>
    <row r="1012" spans="1:5" ht="114.75">
      <c r="A1012" s="5" t="str">
        <f ca="1">IFERROR(__xludf.DUMMYFUNCTION("""COMPUTED_VALUE"""),"ИО 102-26 исп.100 ПАШК.425119.057")</f>
        <v>ИО 102-26 исп.100 ПАШК.425119.057</v>
      </c>
      <c r="B1012" s="6" t="str">
        <f ca="1">IFERROR(__xludf.DUMMYFUNCTION("""COMPUTED_VALUE"""),"Датчик из алюминия,для установки на металл, НР, раст. сраб. 30 мм , Uкомут. – 0,02-72 В, Iкоммут. -0.01-0.5 А, Pкоммут. не более 10 Вт,IP 68 , вывод 1000мм, двойная изоляция. Покрытие корпусов вандалоустойчивыми красками: Антик, Антик серебряный, порошков"&amp;"ые - +150 руб., покрытие простыми красками - + 100руб.")</f>
        <v>Датчик из алюминия,для установки на металл, НР, раст. сраб. 30 мм , Uкомут. – 0,02-72 В, Iкоммут. -0.01-0.5 А, Pкоммут. не более 10 Вт,IP 68 , вывод 1000мм, двойная изоляция. Покрытие корпусов вандалоустойчивыми красками: Антик, Антик серебряный, порошковые - +150 руб., покрытие простыми красками - + 100руб.</v>
      </c>
      <c r="C1012" s="9">
        <f ca="1">IFERROR(__xludf.DUMMYFUNCTION("""COMPUTED_VALUE"""),2970)</f>
        <v>2970</v>
      </c>
      <c r="D1012" s="6"/>
      <c r="E1012" s="8"/>
    </row>
    <row r="1013" spans="1:5" ht="114.75">
      <c r="A1013" s="5" t="str">
        <f ca="1">IFERROR(__xludf.DUMMYFUNCTION("""COMPUTED_VALUE"""),"ИО 102-26 исп.102 ПАШК.425119.057")</f>
        <v>ИО 102-26 исп.102 ПАШК.425119.057</v>
      </c>
      <c r="B1013" s="6" t="str">
        <f ca="1">IFERROR(__xludf.DUMMYFUNCTION("""COMPUTED_VALUE"""),"Датчик из алюминия,для установки на металл, Переключающий, раст. сраб. 24 мм , Uкомут. – 0,02-72 В, Iкоммут. -0.01-0.5 А, Pкоммут. не более 10 Вт. IP 68 , вывод 1000 мм, двойная изоляция. Покрытие корпусов вандалоустойчивыми красками: Антик, Антик серебря"&amp;"ный,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 вывод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13" s="9">
        <f ca="1">IFERROR(__xludf.DUMMYFUNCTION("""COMPUTED_VALUE"""),4180)</f>
        <v>4180</v>
      </c>
      <c r="D1013" s="6"/>
      <c r="E1013" s="8"/>
    </row>
    <row r="1014" spans="1:5" ht="114.75">
      <c r="A1014" s="5" t="str">
        <f ca="1">IFERROR(__xludf.DUMMYFUNCTION("""COMPUTED_VALUE"""),"ИО 102-26 исп.104 металлорукав из оцинкованной стали ПАШК.425119.057")</f>
        <v>ИО 102-26 исп.104 металлорукав из оцинкованной стали ПАШК.425119.057</v>
      </c>
      <c r="B1014" s="6" t="str">
        <f ca="1">IFERROR(__xludf.DUMMYFUNCTION("""COMPUTED_VALUE"""),"Датчик из алюминия,для установки на металл, НР, раст. сраб. 30 мм , Uкомут. – 0,02-72 В, Iкоммут. -0.01-0.5 А, Pкоммут. не более 10 Вт. IP 68, оцинкованный металлорукав 1000мм. Покрытие корпусов вандалоустойчивыми красками: Антик, Антик серебряный, порошк"&amp;"овые - +150 руб., покрытие простыми красками - + 100руб.")</f>
        <v>Датчик из алюминия,для установки на металл, НР, раст. сраб. 30 мм , Uкомут. – 0,02-72 В, Iкоммут. -0.01-0.5 А, Pкоммут. не более 10 Вт. IP 68, оцинкованный металлорукав 1000мм. Покрытие корпусов вандалоустойчивыми красками: Антик, Антик серебряный, порошковые - +150 руб., покрытие простыми красками - + 100руб.</v>
      </c>
      <c r="C1014" s="9">
        <f ca="1">IFERROR(__xludf.DUMMYFUNCTION("""COMPUTED_VALUE"""),3327.5)</f>
        <v>3327.5</v>
      </c>
      <c r="D1014" s="6"/>
      <c r="E1014" s="8"/>
    </row>
    <row r="1015" spans="1:5" ht="114.75">
      <c r="A1015" s="5" t="str">
        <f ca="1">IFERROR(__xludf.DUMMYFUNCTION("""COMPUTED_VALUE"""),"ИО 102-26 исп.104 металлорукав из нержавеющей стали ПАШК.425119.057")</f>
        <v>ИО 102-26 исп.104 металлорукав из нержавеющей стали ПАШК.425119.057</v>
      </c>
      <c r="B1015" s="6" t="str">
        <f ca="1">IFERROR(__xludf.DUMMYFUNCTION("""COMPUTED_VALUE"""),"Датчик из алюминия,для установки на металл, НР, раст. сраб. 30 мм , Uкомут. – 0,02-72 В, Iкоммут. -0.01-0.5 А, Pкоммут. не более 10 Вт. IP 68, металлорукав из нержавеющей стали 1000мм. Покрытие корпусов вандалоустойчивыми красками: Антик, Антик серебряный"&amp;", порошковые - +150 руб., покрытие простыми красками - + 100руб.")</f>
        <v>Датчик из алюминия,для установки на металл, НР, раст. сраб. 30 мм , Uкомут. – 0,02-72 В, Iкоммут. -0.01-0.5 А, Pкоммут. не более 10 Вт. IP 68, металлорукав из нержавеющей стали 1000мм. Покрытие корпусов вандалоустойчивыми красками: Антик, Антик серебряный, порошковые - +150 руб., покрытие простыми красками - + 100руб.</v>
      </c>
      <c r="C1015" s="9">
        <f ca="1">IFERROR(__xludf.DUMMYFUNCTION("""COMPUTED_VALUE"""),3602.5)</f>
        <v>3602.5</v>
      </c>
      <c r="D1015" s="6"/>
      <c r="E1015" s="8"/>
    </row>
    <row r="1016" spans="1:5" ht="114.75">
      <c r="A1016" s="5" t="str">
        <f ca="1">IFERROR(__xludf.DUMMYFUNCTION("""COMPUTED_VALUE"""),"ИО 102-26 исп.105 металлорукав из оцинкованной стали ПАШК.425119.057")</f>
        <v>ИО 102-26 исп.105 металлорукав из оцинкованной стали ПАШК.425119.057</v>
      </c>
      <c r="B1016" s="6" t="str">
        <f ca="1">IFERROR(__xludf.DUMMYFUNCTION("""COMPUTED_VALUE"""),"Датчик из алюминия,для установки на металл, переключающий, раст. сраб. 24 мм , Uкомут. – 0,02-72 В, Iкоммут. -0.01-0.5 А, Pкоммут. не более 10 Вт. IP 68, оцинкованный металлорукав 1000 мм. Покрытие корпусов вандалоустойчивыми красками: Антик, Антик серебр"&amp;"яный,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016" s="9">
        <f ca="1">IFERROR(__xludf.DUMMYFUNCTION("""COMPUTED_VALUE"""),4524.3)</f>
        <v>4524.3</v>
      </c>
      <c r="D1016" s="6"/>
      <c r="E1016" s="8"/>
    </row>
    <row r="1017" spans="1:5" ht="127.5">
      <c r="A1017" s="5" t="str">
        <f ca="1">IFERROR(__xludf.DUMMYFUNCTION("""COMPUTED_VALUE"""),"ИО 102-26 исп.105 металлорукав из нержавеющей стали ПАШК.425119.057")</f>
        <v>ИО 102-26 исп.105 металлорукав из нержавеющей стали ПАШК.425119.057</v>
      </c>
      <c r="B1017" s="6" t="str">
        <f ca="1">IFERROR(__xludf.DUMMYFUNCTION("""COMPUTED_VALUE"""),"Датчик из алюминия,для установки на металл, переключающий, раст. сраб. 24 мм , Uкомут. – 0,02-72 В, Iкоммут. -0.01-0.5 А, Pкоммут. не более 10 Вт. IP 68, металлорукав из нержавеющей стали 1000 мм. Покрытие корпусов вандалоустойчивыми красками: Антик, Анти"&amp;"к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017" s="9">
        <f ca="1">IFERROR(__xludf.DUMMYFUNCTION("""COMPUTED_VALUE"""),4840)</f>
        <v>4840</v>
      </c>
      <c r="D1017" s="6"/>
      <c r="E1017" s="8"/>
    </row>
    <row r="1018" spans="1:5" ht="127.5">
      <c r="A1018" s="12" t="str">
        <f ca="1">IFERROR(__xludf.DUMMYFUNCTION("""COMPUTED_VALUE"""),"ИО 102-26 исп.105 КПСнг(А)-FRHF 2х2х0,2*1000 металлорукав из оцинкованной стали ПАШК.425119.057")</f>
        <v>ИО 102-26 исп.105 КПСнг(А)-FRHF 2х2х0,2*1000 металлорукав из оцинкованной стали ПАШК.425119.057</v>
      </c>
      <c r="B1018" s="13" t="str">
        <f ca="1">IFERROR(__xludf.DUMMYFUNCTION("""COMPUTED_VALUE"""),"Датчик из алюминия,для установки на металл, переключающий, раст. сраб. 24 мм , Uкомут. – 0,02-72 В, Iкоммут. -0.01-0.5 А, Pкоммут. не более 10 Вт. IP 68, вывод КПСнг(А)-FRHF 2х2х0,2*1000 оцинкованный м/р. Покрытие корпусов вандалоустойчивыми красками: Ант"&amp;"ик, Антик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вывод КПСнг(А)-FRHF 2х2х0,2*1000 оцинкованный м/р. Покрытие корпусов вандалоустойчивыми красками: Антик, Антик серебряный, порошковые - +150 руб., покрытие простыми красками - + 100руб.</v>
      </c>
      <c r="C1018" s="14">
        <f ca="1">IFERROR(__xludf.DUMMYFUNCTION("""COMPUTED_VALUE"""),5214)</f>
        <v>5214</v>
      </c>
      <c r="D1018" s="13"/>
    </row>
    <row r="1019" spans="1:5" ht="127.5">
      <c r="A1019" s="12" t="str">
        <f ca="1">IFERROR(__xludf.DUMMYFUNCTION("""COMPUTED_VALUE"""),"ИО 102-26 исп.105 КПСнг(А)-FRHF 2х2х0,2*1000 металлорукав из нержавеющей стали ПАШК.425119.057")</f>
        <v>ИО 102-26 исп.105 КПСнг(А)-FRHF 2х2х0,2*1000 металлорукав из нержавеющей стали ПАШК.425119.057</v>
      </c>
      <c r="B1019" s="13" t="str">
        <f ca="1">IFERROR(__xludf.DUMMYFUNCTION("""COMPUTED_VALUE"""),"Датчик из алюминия,для установки на металл, переключающий, раст. сраб. 24 мм , Uкомут. – 0,02-72 В, Iкоммут. -0.01-0.5 А, Pкоммут. не более 10 Вт. IP 68, вывод КПСнг(А)-FRHF 2х2х0,2*1000 м/р из нержавеющей стали. Покрытие корпусов вандалоустойчивыми краск"&amp;"ами: Антик, Антик серебряный, порошковые - +150 руб., покрытие простыми красками - + 100руб.")</f>
        <v>Датчик из алюминия,для установки на металл, переключающий, раст. сраб. 24 мм , Uкомут. – 0,02-72 В, Iкоммут. -0.01-0.5 А, Pкоммут. не более 10 Вт. IP 68, вывод КПСнг(А)-FRHF 2х2х0,2*1000 м/р из нержавеющей стали. Покрытие корпусов вандалоустойчивыми красками: Антик, Антик серебряный, порошковые - +150 руб., покрытие простыми красками - + 100руб.</v>
      </c>
      <c r="C1019" s="14">
        <f ca="1">IFERROR(__xludf.DUMMYFUNCTION("""COMPUTED_VALUE"""),5720)</f>
        <v>5720</v>
      </c>
      <c r="D1019" s="13"/>
    </row>
    <row r="1020" spans="1:5" ht="63.75">
      <c r="A1020" s="12" t="str">
        <f ca="1">IFERROR(__xludf.DUMMYFUNCTION("""COMPUTED_VALUE"""),"ИО 102-26 исп.200 ПАШК.425119.066")</f>
        <v>ИО 102-26 исп.200 ПАШК.425119.066</v>
      </c>
      <c r="B1020" s="13" t="str">
        <f ca="1">IFERROR(__xludf.DUMMYFUNCTION("""COMPUTED_VALUE"""),"Датчик из НЕРЖАВЕЙКИ,для установки на металл, НР, раст. сраб. 70 мм , Uкомут. – 0,02-72 В, Iкоммут. -0.01-0.5 А, Pкоммут. не более 10 Вт,IP 68, провод 1000мм, двойная изоляция. ")</f>
        <v xml:space="preserve">Датчик из НЕРЖАВЕЙКИ,для установки на металл, НР, раст. сраб. 70 мм , Uкомут. – 0,02-72 В, Iкоммут. -0.01-0.5 А, Pкоммут. не более 10 Вт,IP 68, провод 1000мм, двойная изоляция. </v>
      </c>
      <c r="C1020" s="14">
        <f ca="1">IFERROR(__xludf.DUMMYFUNCTION("""COMPUTED_VALUE"""),8712.1125)</f>
        <v>8712.1124999999993</v>
      </c>
      <c r="D1020" s="13"/>
    </row>
    <row r="1021" spans="1:5" ht="63.75">
      <c r="A1021" s="12" t="str">
        <f ca="1">IFERROR(__xludf.DUMMYFUNCTION("""COMPUTED_VALUE"""),"ИО 102-26 исп.202 ПАШК.425119.066")</f>
        <v>ИО 102-26 исп.202 ПАШК.425119.066</v>
      </c>
      <c r="B1021" s="13" t="str">
        <f ca="1">IFERROR(__xludf.DUMMYFUNCTION("""COMPUTED_VALUE"""),"Датчик из НЕРЖАВЕЙКИ,для установки на металл, Переключающий, раст. сраб. 70 мм , Uкомут. – 0,02-72 В, Iкоммут. -0.01-0.5 А, Pкоммут. не более 10 Вт. IP 68 , провод 1000 мм, двойная изоляция. ")</f>
        <v xml:space="preserve">Датчик из НЕРЖАВЕЙКИ,для установки на металл, Переключающий, раст. сраб. 70 мм , Uкомут. – 0,02-72 В, Iкоммут. -0.01-0.5 А, Pкоммут. не более 10 Вт. IP 68 , провод 1000 мм, двойная изоляция. </v>
      </c>
      <c r="C1021" s="14">
        <f ca="1">IFERROR(__xludf.DUMMYFUNCTION("""COMPUTED_VALUE"""),9754.185)</f>
        <v>9754.1849999999995</v>
      </c>
      <c r="D1021" s="13"/>
    </row>
    <row r="1022" spans="1:5" ht="63.75">
      <c r="A1022" s="12" t="str">
        <f ca="1">IFERROR(__xludf.DUMMYFUNCTION("""COMPUTED_VALUE"""),"ИО 102-26 исп.204 ПАШК.425119.066")</f>
        <v>ИО 102-26 исп.204 ПАШК.425119.066</v>
      </c>
      <c r="B1022" s="13" t="str">
        <f ca="1">IFERROR(__xludf.DUMMYFUNCTION("""COMPUTED_VALUE"""),"Датчик из НЕРЖАВЕЙКИ,для установки на металл, НР, раст. сраб. 70 мм , Uкомут. – 0,02-72 В, Iкоммут. -0.01-0.5 А, Pкоммут. не более 10 Вт. IP 68, металлорукав из нержавеющей стали, 1000 мм. ")</f>
        <v xml:space="preserve">Датчик из НЕРЖАВЕЙКИ,для установки на металл, НР, раст. сраб. 70 мм , Uкомут. – 0,02-72 В, Iкоммут. -0.01-0.5 А, Pкоммут. не более 10 Вт. IP 68, металлорукав из нержавеющей стали, 1000 мм. </v>
      </c>
      <c r="C1022" s="14">
        <f ca="1">IFERROR(__xludf.DUMMYFUNCTION("""COMPUTED_VALUE"""),9262.03215)</f>
        <v>9262.0321499999991</v>
      </c>
      <c r="D1022" s="13"/>
    </row>
    <row r="1023" spans="1:5" ht="76.5">
      <c r="A1023" s="12" t="str">
        <f ca="1">IFERROR(__xludf.DUMMYFUNCTION("""COMPUTED_VALUE"""),"ИО 102-26 исп.205 ПАШК.425119.066")</f>
        <v>ИО 102-26 исп.205 ПАШК.425119.066</v>
      </c>
      <c r="B1023" s="13" t="str">
        <f ca="1">IFERROR(__xludf.DUMMYFUNCTION("""COMPUTED_VALUE"""),"Датчик из НЕРЖАВЕЙКИ,для установки на металл, переключающий, раст. сраб. 70 мм , Uкомут. – 0,02-72 В, Iкоммут. -0.01-0.5 А, Pкоммут. не более 10 Вт. IP 68, металлорукав из нержавеющей стали, 1000мм. ")</f>
        <v xml:space="preserve">Датчик из НЕРЖАВЕЙКИ,для установки на металл, переключающий, раст. сраб. 70 мм , Uкомут. – 0,02-72 В, Iкоммут. -0.01-0.5 А, Pкоммут. не более 10 Вт. IP 68, металлорукав из нержавеющей стали, 1000мм. </v>
      </c>
      <c r="C1023" s="14">
        <f ca="1">IFERROR(__xludf.DUMMYFUNCTION("""COMPUTED_VALUE"""),10410)</f>
        <v>10410</v>
      </c>
      <c r="D1023" s="13"/>
    </row>
    <row r="1024" spans="1:5" ht="51">
      <c r="A1024" s="12" t="str">
        <f ca="1">IFERROR(__xludf.DUMMYFUNCTION("""COMPUTED_VALUE"""),"Кронштейн К-05")</f>
        <v>Кронштейн К-05</v>
      </c>
      <c r="B1024" s="13" t="str">
        <f ca="1">IFERROR(__xludf.DUMMYFUNCTION("""COMPUTED_VALUE"""),"предназначен для монтажа блока датчика ИО 102-26 исп.250 и ИО 102-26 исп.251 к подвижным поверхностям охраняемых конструкций")</f>
        <v>предназначен для монтажа блока датчика ИО 102-26 исп.250 и ИО 102-26 исп.251 к подвижным поверхностям охраняемых конструкций</v>
      </c>
      <c r="C1024" s="14">
        <f ca="1">IFERROR(__xludf.DUMMYFUNCTION("""COMPUTED_VALUE"""),1663.475)</f>
        <v>1663.4749999999999</v>
      </c>
      <c r="D1024" s="13"/>
    </row>
    <row r="1025" spans="1:4" ht="38.25">
      <c r="A1025" s="12" t="str">
        <f ca="1">IFERROR(__xludf.DUMMYFUNCTION("""COMPUTED_VALUE"""),"ИО 102-26 исп.250 ""Нержавейка-100"" ПАШК.425119.064")</f>
        <v>ИО 102-26 исп.250 "Нержавейка-100" ПАШК.425119.064</v>
      </c>
      <c r="B1025" s="13" t="str">
        <f ca="1">IFERROR(__xludf.DUMMYFUNCTION("""COMPUTED_VALUE"""),"Корпус-НЕРЖАВЕЙКА, НР, на металл. IP 68, раст.сраб 100 мм, вывод в двойной изоляции 1000 мм. ")</f>
        <v xml:space="preserve">Корпус-НЕРЖАВЕЙКА, НР, на металл. IP 68, раст.сраб 100 мм, вывод в двойной изоляции 1000 мм. </v>
      </c>
      <c r="C1025" s="14">
        <f ca="1">IFERROR(__xludf.DUMMYFUNCTION("""COMPUTED_VALUE"""),15283.5)</f>
        <v>15283.5</v>
      </c>
      <c r="D1025" s="13"/>
    </row>
    <row r="1026" spans="1:4" ht="38.25">
      <c r="A1026" s="12" t="str">
        <f ca="1">IFERROR(__xludf.DUMMYFUNCTION("""COMPUTED_VALUE"""),"ИО 102-26 исп.250 ""Нержавейка-40"" ПАШК.425119.064")</f>
        <v>ИО 102-26 исп.250 "Нержавейка-40" ПАШК.425119.064</v>
      </c>
      <c r="B1026" s="13" t="str">
        <f ca="1">IFERROR(__xludf.DUMMYFUNCTION("""COMPUTED_VALUE"""),"Корпус-НЕРЖАВЕЙКА, НР, на металл . IP 68, раст.сраб 40 мм, вывод в двойной изоляции 1000 мм. ")</f>
        <v xml:space="preserve">Корпус-НЕРЖАВЕЙКА, НР, на металл . IP 68, раст.сраб 40 мм, вывод в двойной изоляции 1000 мм. </v>
      </c>
      <c r="C1026" s="14">
        <f ca="1">IFERROR(__xludf.DUMMYFUNCTION("""COMPUTED_VALUE"""),12736.25)</f>
        <v>12736.25</v>
      </c>
      <c r="D1026" s="13"/>
    </row>
    <row r="1027" spans="1:4" ht="38.25">
      <c r="A1027" s="12" t="str">
        <f ca="1">IFERROR(__xludf.DUMMYFUNCTION("""COMPUTED_VALUE"""),"ИО 102-26 исп.251 ""Нержавейка-100"" ПАШК.425119.064")</f>
        <v>ИО 102-26 исп.251 "Нержавейка-100" ПАШК.425119.064</v>
      </c>
      <c r="B1027" s="13" t="str">
        <f ca="1">IFERROR(__xludf.DUMMYFUNCTION("""COMPUTED_VALUE"""),"Корпус-НЕРЖАВЕЙКА, НР, на металл. IP 68, раст.сраб 100 мм, вывод 1000 мм, металлорукав из нержавеющей стали. ")</f>
        <v xml:space="preserve">Корпус-НЕРЖАВЕЙКА, НР, на металл. IP 68, раст.сраб 100 мм, вывод 1000 мм, металлорукав из нержавеющей стали. </v>
      </c>
      <c r="C1027" s="14">
        <f ca="1">IFERROR(__xludf.DUMMYFUNCTION("""COMPUTED_VALUE"""),16805)</f>
        <v>16805</v>
      </c>
      <c r="D1027" s="13"/>
    </row>
    <row r="1028" spans="1:4" ht="76.5">
      <c r="A1028" s="12" t="str">
        <f ca="1">IFERROR(__xludf.DUMMYFUNCTION("""COMPUTED_VALUE"""),"ИО 102-43 ""Нержавейка"" исп.00 ПАШК.425119.069")</f>
        <v>ИО 102-43 "Нержавейка" исп.00 ПАШК.425119.069</v>
      </c>
      <c r="B1028" s="13" t="str">
        <f ca="1">IFERROR(__xludf.DUMMYFUNCTION("""COMPUTED_VALUE"""),"Корпус-Нержавейка. Норм.разомкнутый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f>
        <v>Корпус-Нержавейка. Норм.разомкнутый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v>
      </c>
      <c r="C1028" s="14">
        <f ca="1">IFERROR(__xludf.DUMMYFUNCTION("""COMPUTED_VALUE"""),831.1853)</f>
        <v>831.18529999999998</v>
      </c>
      <c r="D1028" s="13"/>
    </row>
    <row r="1029" spans="1:4" ht="76.5">
      <c r="A1029" s="12" t="str">
        <f ca="1">IFERROR(__xludf.DUMMYFUNCTION("""COMPUTED_VALUE"""),"ИО 102-43 ""Нержавейка"" исп.01 ПАШК.425119.069")</f>
        <v>ИО 102-43 "Нержавейка" исп.01 ПАШК.425119.069</v>
      </c>
      <c r="B1029" s="13" t="str">
        <f ca="1">IFERROR(__xludf.DUMMYFUNCTION("""COMPUTED_VALUE"""),"Корпус-Нержавейка. Переключающий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f>
        <v>Корпус-Нержавейка. Переключающий геркон. Габаритные размеры 77х11х9. Покрытие корпусов вандалоустойчивыми красками: Антик, Антик серебряный, порошковые - +150 руб., покрытие простыми красками - + 100руб.</v>
      </c>
      <c r="C1029" s="14">
        <f ca="1">IFERROR(__xludf.DUMMYFUNCTION("""COMPUTED_VALUE"""),1683.3036)</f>
        <v>1683.3036</v>
      </c>
      <c r="D1029" s="13"/>
    </row>
    <row r="1030" spans="1:4" ht="153">
      <c r="A1030" s="12" t="str">
        <f ca="1">IFERROR(__xludf.DUMMYFUNCTION("""COMPUTED_VALUE"""),"ИО 102-43 ""Нержавейка"" исп.02 ПАШК.425119.069")</f>
        <v>ИО 102-43 "Нержавейка" исп.02 ПАШК.425119.069</v>
      </c>
      <c r="B1030" s="13" t="str">
        <f ca="1">IFERROR(__xludf.DUMMYFUNCTION("""COMPUTED_VALUE"""),"Врезной на металл, НР геркон, контакты извещателя должны быть в переключенном состоянии при расположении магнита и датчика: на металлической магнитоактивной поверхности на расстоянии 7 мм и менее, и в разомкнутом на расстоянии 10 мм и более; Покрытие корп"&amp;"усов вандалоустойчивыми красками: Антик, Антик серебряный, порошковые - +150 руб., покрытие простыми красками - + 100руб.")</f>
        <v>Врезной на металл, НР геркон, контакты извещателя должны быть в переключенном состоянии при расположении магнита и датчика: на металлической магнитоактивной поверхности на расстоянии 7 мм и менее, и в разомкнутом на расстоянии 10 мм и более; Покрытие корпусов вандалоустойчивыми красками: Антик, Антик серебряный, порошковые - +150 руб., покрытие простыми красками - + 100руб.</v>
      </c>
      <c r="C1030" s="14">
        <f ca="1">IFERROR(__xludf.DUMMYFUNCTION("""COMPUTED_VALUE"""),1408.198)</f>
        <v>1408.1980000000001</v>
      </c>
      <c r="D1030" s="13"/>
    </row>
    <row r="1031" spans="1:4" ht="76.5">
      <c r="A1031" s="12" t="str">
        <f ca="1">IFERROR(__xludf.DUMMYFUNCTION("""COMPUTED_VALUE"""),"ИО 102-43 ""Нержавейка"" Врезн/Накл (магнит М100) ПАШК.425119.069")</f>
        <v>ИО 102-43 "Нержавейка" Врезн/Накл (магнит М100) ПАШК.425119.069</v>
      </c>
      <c r="B1031" s="13" t="str">
        <f ca="1">IFERROR(__xludf.DUMMYFUNCTION("""COMPUTED_VALUE"""),"Блок геркона (датчик) врезной на металл, со скрытым выводом 400мм, блок магнита - накладной. НР, контакты замкнуты на расстоянии 20мм и менее,  разомкнуты на расстоянии 30мм и более.")</f>
        <v>Блок геркона (датчик) врезной на металл, со скрытым выводом 400мм, блок магнита - накладной. НР, контакты замкнуты на расстоянии 20мм и менее,  разомкнуты на расстоянии 30мм и более.</v>
      </c>
      <c r="C1031" s="14">
        <f ca="1">IFERROR(__xludf.DUMMYFUNCTION("""COMPUTED_VALUE"""),1004.9534)</f>
        <v>1004.9534</v>
      </c>
      <c r="D1031" s="13"/>
    </row>
    <row r="1032" spans="1:4" ht="76.5">
      <c r="A1032" s="12" t="str">
        <f ca="1">IFERROR(__xludf.DUMMYFUNCTION("""COMPUTED_VALUE"""),"Кронштейн К-43 для монтажа извещателей охранных ИО 102-43 АТФЕ.687434.185 ТУ")</f>
        <v>Кронштейн К-43 для монтажа извещателей охранных ИО 102-43 АТФЕ.687434.185 ТУ</v>
      </c>
      <c r="B1032" s="13" t="str">
        <f ca="1">IFERROR(__xludf.DUMMYFUNCTION("""COMPUTED_VALUE"""),"для изменения положения при монтаже блока магнита или блока датчика извещателей ИО 102-43.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извещателей ИО 102-43. Позволяет изменить положение одного из блоков на 90 град. Нержавеющая сталь толщиной 1,5 мм</v>
      </c>
      <c r="C1032" s="14">
        <f ca="1">IFERROR(__xludf.DUMMYFUNCTION("""COMPUTED_VALUE"""),449.878)</f>
        <v>449.87799999999999</v>
      </c>
      <c r="D1032" s="13"/>
    </row>
    <row r="1033" spans="1:4" ht="63.75">
      <c r="A1033" s="12" t="str">
        <f ca="1">IFERROR(__xludf.DUMMYFUNCTION("""COMPUTED_VALUE"""),"КР-43 Нержавейка")</f>
        <v>КР-43 Нержавейка</v>
      </c>
      <c r="B1033"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33" s="14">
        <f ca="1">IFERROR(__xludf.DUMMYFUNCTION("""COMPUTED_VALUE"""),600)</f>
        <v>600</v>
      </c>
      <c r="D1033" s="13"/>
    </row>
    <row r="1034" spans="1:4" ht="25.5">
      <c r="A1034" s="12" t="str">
        <f ca="1">IFERROR(__xludf.DUMMYFUNCTION("""COMPUTED_VALUE"""),"ИО 102-28 ПАШК.425119.011")</f>
        <v>ИО 102-28 ПАШК.425119.011</v>
      </c>
      <c r="B1034" s="13" t="str">
        <f ca="1">IFERROR(__xludf.DUMMYFUNCTION("""COMPUTED_VALUE"""),"Датчик с металлической пластиной в зазор (для жалюзи)")</f>
        <v>Датчик с металлической пластиной в зазор (для жалюзи)</v>
      </c>
      <c r="C1034" s="14">
        <f ca="1">IFERROR(__xludf.DUMMYFUNCTION("""COMPUTED_VALUE"""),448.2445)</f>
        <v>448.24450000000002</v>
      </c>
      <c r="D1034" s="13"/>
    </row>
    <row r="1035" spans="1:4" ht="25.5">
      <c r="A1035" s="12" t="str">
        <f ca="1">IFERROR(__xludf.DUMMYFUNCTION("""COMPUTED_VALUE"""),"ИО 102-30 «БУЛЬДОГ» ПАШК.425119.012")</f>
        <v>ИО 102-30 «БУЛЬДОГ» ПАШК.425119.012</v>
      </c>
      <c r="B1035" s="13" t="str">
        <f ca="1">IFERROR(__xludf.DUMMYFUNCTION("""COMPUTED_VALUE"""),"Датчик на металл переключ. однопозиционный")</f>
        <v>Датчик на металл переключ. однопозиционный</v>
      </c>
      <c r="C1035" s="14">
        <f ca="1">IFERROR(__xludf.DUMMYFUNCTION("""COMPUTED_VALUE"""),1957.3807)</f>
        <v>1957.3806999999999</v>
      </c>
      <c r="D1035" s="13"/>
    </row>
    <row r="1036" spans="1:4" ht="89.25">
      <c r="A1036" s="12" t="str">
        <f ca="1">IFERROR(__xludf.DUMMYFUNCTION("""COMPUTED_VALUE"""),"ИО 102 ""СМК"" исп.00 2 НР ПАШК.425119.139")</f>
        <v>ИО 102 "СМК" исп.00 2 НР ПАШК.425119.139</v>
      </c>
      <c r="B1036" s="13" t="str">
        <f ca="1">IFERROR(__xludf.DUMMYFUNCTION("""COMPUTED_VALUE"""),"2 геркона НР контакты, 4 выходных контакта, Выведенный из корпуса исполнительного блока сигнальный кабель 4х0,22 длиной 350±20 мм, имеющий двойную изоляцию, наличие разъемов разъем Molex (2шт) 351840200 по согласованию с потребителем")</f>
        <v>2 геркона НР контакты, 4 выходных контакта, Выведенный из корпуса исполнительного блока сигнальный кабель 4х0,22 длиной 350±20 мм, имеющий двойную изоляцию, наличие разъемов разъем Molex (2шт) 351840200 по согласованию с потребителем</v>
      </c>
      <c r="C1036" s="14">
        <f ca="1">IFERROR(__xludf.DUMMYFUNCTION("""COMPUTED_VALUE"""),1158.3)</f>
        <v>1158.3</v>
      </c>
      <c r="D1036" s="13"/>
    </row>
    <row r="1037" spans="1:4" ht="89.25">
      <c r="A1037" s="12" t="str">
        <f ca="1">IFERROR(__xludf.DUMMYFUNCTION("""COMPUTED_VALUE"""),"ИО 102 ""СМК"" исп.00 ПАШК.425119.139")</f>
        <v>ИО 102 "СМК" исп.00 ПАШК.425119.139</v>
      </c>
      <c r="B1037" s="13" t="str">
        <f ca="1">IFERROR(__xludf.DUMMYFUNCTION("""COMPUTED_VALUE"""),"НР геркон, 2 выходных контакта. Выведенный из корпуса исполнительного блока сигнальный кабель 2х0,22 длиной 350±20 мм, наличие разъемов разъем Molex (1шт) 351840200 по согласованию с потребителем")</f>
        <v>НР геркон, 2 выходных контакта. Выведенный из корпуса исполнительного блока сигнальный кабель 2х0,22 длиной 350±20 мм, наличие разъемов разъем Molex (1шт) 351840200 по согласованию с потребителем</v>
      </c>
      <c r="C1037" s="14">
        <f ca="1">IFERROR(__xludf.DUMMYFUNCTION("""COMPUTED_VALUE"""),868.1508)</f>
        <v>868.1508</v>
      </c>
      <c r="D1037" s="13"/>
    </row>
    <row r="1038" spans="1:4" ht="102">
      <c r="A1038" s="12" t="str">
        <f ca="1">IFERROR(__xludf.DUMMYFUNCTION("""COMPUTED_VALUE"""),"ИО 102-«Люкс» (белый) IP 66 ПАШК.425119.080 ТУ")</f>
        <v>ИО 102-«Люкс» (белый) IP 66 ПАШК.425119.080 ТУ</v>
      </c>
      <c r="B1038" s="13" t="str">
        <f ca="1">IFERROR(__xludf.DUMMYFUNCTION("""COMPUTED_VALUE"""),"предназначен для установки на не магнитопроводных контролируемых поверхностях (дерево, пластик и т.д.)
  контакты находятся в замкнутом состоянии при расположении магнита и датчика на расстоянии 10 мм и менее, и в нормальном состоянии на расстоянии 15 мм "&amp;"и более")</f>
        <v>предназначен для установки на не магнитопроводных контролируемых поверхностях (дерево, пластик и т.д.)
  контакты находятся в замкнутом состоянии при расположении магнита и датчика на расстоянии 10 мм и менее, и в нормальном состоянии на расстоянии 15 мм и более</v>
      </c>
      <c r="C1038" s="14">
        <f ca="1">IFERROR(__xludf.DUMMYFUNCTION("""COMPUTED_VALUE"""),594)</f>
        <v>594</v>
      </c>
      <c r="D1038" s="13"/>
    </row>
    <row r="1039" spans="1:4" ht="102">
      <c r="A1039" s="12" t="str">
        <f ca="1">IFERROR(__xludf.DUMMYFUNCTION("""COMPUTED_VALUE"""),"ИО 102- «Люкс» переключающий (белый) IP 66 ПАШК.425119.080 ТУ")</f>
        <v>ИО 102- «Люкс» переключающий (белый) IP 66 ПАШК.425119.080 ТУ</v>
      </c>
      <c r="B1039" s="13" t="str">
        <f ca="1">IFERROR(__xludf.DUMMYFUNCTION("""COMPUTED_VALUE"""),"предназначен для установки на не магнитопроводных контролируемых поверхностях (дерево, пластик и т.д.), контакты находятся в переключенном состоянии при расположении магнита и датчика на расстоянии 10 мм и менее, и в нормальном состоянии на расстоянии 15 "&amp;"мм и более")</f>
        <v>предназначен для установки на не магнитопроводных контролируемых поверхностях (дерево, пластик и т.д.), контакты находятся в переключенном состоянии при расположении магнита и датчика на расстоянии 10 мм и менее, и в нормальном состоянии на расстоянии 15 мм и более</v>
      </c>
      <c r="C1039" s="14">
        <f ca="1">IFERROR(__xludf.DUMMYFUNCTION("""COMPUTED_VALUE"""),1978.5073)</f>
        <v>1978.5073</v>
      </c>
      <c r="D1039" s="13"/>
    </row>
    <row r="1040" spans="1:4" ht="114.75">
      <c r="A1040" s="12" t="str">
        <f ca="1">IFERROR(__xludf.DUMMYFUNCTION("""COMPUTED_VALUE"""),"ИО 102- «Люкс»-сейф (белый) IP 66 ПАШК.425119.080 ТУ")</f>
        <v>ИО 102- «Люкс»-сейф (белый) IP 66 ПАШК.425119.080 ТУ</v>
      </c>
      <c r="B1040" s="13" t="str">
        <f ca="1">IFERROR(__xludf.DUMMYFUNCTION("""COMPUTED_VALUE"""),"предназначен для установки на любых поверхностях, в т.ч.магнитопроводных (сейфы, стальные ворота и двери, конструкции окон и т. д.), контакты находятся в замкнутом состоянии при расположении магнита и датчика на расстоянии 10 мм и менее, и в нормальном со"&amp;"стоянии на расстоянии 15 мм и более")</f>
        <v>предназначен для установки на любых поверхностях, в т.ч.магнитопроводных (сейфы, стальные ворота и двери, конструкции окон и т. д.), контакты находятся в замкнутом состоянии при расположении магнита и датчика на расстоянии 10 мм и менее, и в нормальном состоянии на расстоянии 15 мм и более</v>
      </c>
      <c r="C1040" s="14">
        <f ca="1">IFERROR(__xludf.DUMMYFUNCTION("""COMPUTED_VALUE"""),909.315)</f>
        <v>909.31500000000005</v>
      </c>
      <c r="D1040" s="13"/>
    </row>
    <row r="1041" spans="1:4" ht="114.75">
      <c r="A1041" s="12" t="str">
        <f ca="1">IFERROR(__xludf.DUMMYFUNCTION("""COMPUTED_VALUE"""),"ИО 102- «Люкс»-сейф переключающий (белый) IP 66 ПАШК.425119.080 ТУ")</f>
        <v>ИО 102- «Люкс»-сейф переключающий (белый) IP 66 ПАШК.425119.080 ТУ</v>
      </c>
      <c r="B1041" s="13" t="str">
        <f ca="1">IFERROR(__xludf.DUMMYFUNCTION("""COMPUTED_VALUE"""),"предназначен для установки на любых поверхностях, в т.ч.магнитопроводных (сейфы, стальные ворота и двери, конструкции окон и т. д.), контакты находятся в переключенном состоянии при расположении магнита и датчика на расстоянии 5 мм и менее, и в нормальном"&amp;" состоянии на расстоянии 15 мм и более")</f>
        <v>предназначен для установки на любых поверхностях, в т.ч.магнитопроводных (сейфы, стальные ворота и двери, конструкции окон и т. д.), контакты находятся в переключенном состоянии при расположении магнита и датчика на расстоянии 5 мм и менее, и в нормальном состоянии на расстоянии 15 мм и более</v>
      </c>
      <c r="C1041" s="14">
        <f ca="1">IFERROR(__xludf.DUMMYFUNCTION("""COMPUTED_VALUE"""),2192.3506)</f>
        <v>2192.3506000000002</v>
      </c>
      <c r="D1041" s="13"/>
    </row>
    <row r="1042" spans="1:4" ht="51">
      <c r="A1042" s="12" t="str">
        <f ca="1">IFERROR(__xludf.DUMMYFUNCTION("""COMPUTED_VALUE"""),"Проставка для ИО 102-29")</f>
        <v>Проставка для ИО 102-29</v>
      </c>
      <c r="B1042" s="13" t="str">
        <f ca="1">IFERROR(__xludf.DUMMYFUNCTION("""COMPUTED_VALUE"""),"Позволяет восстановить соосность магнита и датчика,  поднимает любой из блоков извещателя на 5 мм (набором — 10мм, 15 мм и т.д), пластик, вес 1.5 г.")</f>
        <v>Позволяет восстановить соосность магнита и датчика,  поднимает любой из блоков извещателя на 5 мм (набором — 10мм, 15 мм и т.д), пластик, вес 1.5 г.</v>
      </c>
      <c r="C1042" s="14">
        <f ca="1">IFERROR(__xludf.DUMMYFUNCTION("""COMPUTED_VALUE"""),18.26)</f>
        <v>18.260000000000002</v>
      </c>
      <c r="D1042" s="13"/>
    </row>
    <row r="1043" spans="1:4" ht="102">
      <c r="A1043" s="12" t="str">
        <f ca="1">IFERROR(__xludf.DUMMYFUNCTION("""COMPUTED_VALUE"""),"Кронштейн К-29")</f>
        <v>Кронштейн К-29</v>
      </c>
      <c r="B1043" s="13" t="str">
        <f ca="1">IFERROR(__xludf.DUMMYFUNCTION("""COMPUTED_VALUE"""),"Предназначен для изменения положения при монтаже блока магнита или блока датчика магнитоконтактных извещателей ИО 102-29 «Эстет», «Эстет-Сейф», ИО 102-29 «Эстет-Инвертор», «Эстет–Сейф-Инвертор» и ИО 102-«Люкс», ИО 102-«Люкс»-Сейф к поверхностям охраняемых"&amp;" конструкций. ")</f>
        <v xml:space="preserve">Предназначен для изменения положения при монтаже блока магнита или блока датчика магнитоконтактных извещателей ИО 102-29 «Эстет», «Эстет-Сейф», ИО 102-29 «Эстет-Инвертор», «Эстет–Сейф-Инвертор» и ИО 102-«Люкс», ИО 102-«Люкс»-Сейф к поверхностям охраняемых конструкций. </v>
      </c>
      <c r="C1043" s="14">
        <f ca="1">IFERROR(__xludf.DUMMYFUNCTION("""COMPUTED_VALUE"""),338.8)</f>
        <v>338.8</v>
      </c>
      <c r="D1043" s="13"/>
    </row>
    <row r="1044" spans="1:4" ht="63.75">
      <c r="A1044" s="12" t="str">
        <f ca="1">IFERROR(__xludf.DUMMYFUNCTION("""COMPUTED_VALUE"""),"КР-29 Эстет Нержавейка")</f>
        <v>КР-29 Эстет Нержавейка</v>
      </c>
      <c r="B1044"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44" s="14">
        <f ca="1">IFERROR(__xludf.DUMMYFUNCTION("""COMPUTED_VALUE"""),590)</f>
        <v>590</v>
      </c>
      <c r="D1044" s="13"/>
    </row>
    <row r="1045" spans="1:4" ht="38.25">
      <c r="A1045" s="12" t="str">
        <f ca="1">IFERROR(__xludf.DUMMYFUNCTION("""COMPUTED_VALUE"""),"ИО 102-29 «ЭСТЕТ» Основной цвет корпуса белый. По согласованию с заказчиком возможна поставка серо-металлического и черного цвета. НСТК.425119.015")</f>
        <v>ИО 102-29 «ЭСТЕТ» Основной цвет корпуса белый. По согласованию с заказчиком возможна поставка серо-металлического и черного цвета. НСТК.425119.015</v>
      </c>
      <c r="B1045" s="13" t="str">
        <f ca="1">IFERROR(__xludf.DUMMYFUNCTION("""COMPUTED_VALUE"""),"Магнитоконтактный, миниатюрный с крышкой и встроенной колодкой")</f>
        <v>Магнитоконтактный, миниатюрный с крышкой и встроенной колодкой</v>
      </c>
      <c r="C1045" s="14">
        <f ca="1">IFERROR(__xludf.DUMMYFUNCTION("""COMPUTED_VALUE"""),635.503)</f>
        <v>635.50300000000004</v>
      </c>
      <c r="D1045" s="13"/>
    </row>
    <row r="1046" spans="1:4" ht="38.25">
      <c r="A1046" s="12" t="str">
        <f ca="1">IFERROR(__xludf.DUMMYFUNCTION("""COMPUTED_VALUE"""),"ИО 102-29 ""ЭСТЕТ"" - уличный IP 66 Основной цвет корпуса белый. По согласованию с заказчиком возможна поставка серо-металлического и черного цвета. НСТК.425119.015")</f>
        <v>ИО 102-29 "ЭСТЕТ" - уличный IP 66 Основной цвет корпуса белый. По согласованию с заказчиком возможна поставка серо-металлического и черного цвета. НСТК.425119.015</v>
      </c>
      <c r="B1046" s="13" t="str">
        <f ca="1">IFERROR(__xludf.DUMMYFUNCTION("""COMPUTED_VALUE"""),"Залит компаундом, вывод 500 мм, до -50 °С, IP 66")</f>
        <v>Залит компаундом, вывод 500 мм, до -50 °С, IP 66</v>
      </c>
      <c r="C1046" s="14">
        <f ca="1">IFERROR(__xludf.DUMMYFUNCTION("""COMPUTED_VALUE"""),958.32)</f>
        <v>958.32</v>
      </c>
      <c r="D1046" s="13"/>
    </row>
    <row r="1047" spans="1:4" ht="51">
      <c r="A1047" s="12" t="str">
        <f ca="1">IFERROR(__xludf.DUMMYFUNCTION("""COMPUTED_VALUE"""),"ИО 102-29 «ЭСТЕТ-ИНВЕРТОР» Основной цвет корпуса белый. По согласованию с заказчиком возможна поставка серо-металлического и черного цвета. НСТК.425119.015")</f>
        <v>ИО 102-29 «ЭСТЕТ-ИНВЕРТОР» Основной цвет корпуса белый. По согласованию с заказчиком возможна поставка серо-металлического и черного цвета. НСТК.425119.015</v>
      </c>
      <c r="B1047" s="13" t="str">
        <f ca="1">IFERROR(__xludf.DUMMYFUNCTION("""COMPUTED_VALUE"""),"Магнитоконтатный, миниатюрный с крышкой и встроенной колодкой, при поднесении магнита ближе 10 мм- РАЗОМКНУТ")</f>
        <v>Магнитоконтатный, миниатюрный с крышкой и встроенной колодкой, при поднесении магнита ближе 10 мм- РАЗОМКНУТ</v>
      </c>
      <c r="C1047" s="14">
        <f ca="1">IFERROR(__xludf.DUMMYFUNCTION("""COMPUTED_VALUE"""),1690.7)</f>
        <v>1690.7</v>
      </c>
      <c r="D1047" s="13"/>
    </row>
    <row r="1048" spans="1:4" ht="51">
      <c r="A1048" s="12" t="str">
        <f ca="1">IFERROR(__xludf.DUMMYFUNCTION("""COMPUTED_VALUE"""),"ИО 102-29 «ЭСТЕТ-ИНВЕРТОР» уличный IP 66 Основной цвет корпуса белый. По согласованию с заказчиком возможна поставка серо-металлического и черного цвета. НСТК.425119.016")</f>
        <v>ИО 102-29 «ЭСТЕТ-ИНВЕРТОР» уличный IP 66 Основной цвет корпуса белый. По согласованию с заказчиком возможна поставка серо-металлического и черного цвета. НСТК.425119.016</v>
      </c>
      <c r="B1048" s="13" t="str">
        <f ca="1">IFERROR(__xludf.DUMMYFUNCTION("""COMPUTED_VALUE"""),"Залит компаундом, вывод 500 мм, до -50 °С, IP 66")</f>
        <v>Залит компаундом, вывод 500 мм, до -50 °С, IP 66</v>
      </c>
      <c r="C1048" s="14">
        <f ca="1">IFERROR(__xludf.DUMMYFUNCTION("""COMPUTED_VALUE"""),1966.8)</f>
        <v>1966.8</v>
      </c>
      <c r="D1048" s="13"/>
    </row>
    <row r="1049" spans="1:4" ht="38.25">
      <c r="A1049" s="12" t="str">
        <f ca="1">IFERROR(__xludf.DUMMYFUNCTION("""COMPUTED_VALUE"""),"ИО 102-29 «ЭСТЕТ-СЕЙФ» Основной цвет корпуса белый. По согласованию с заказчиком возможна поставка серо-металлического и черного цвета. НСТК.425119.015")</f>
        <v>ИО 102-29 «ЭСТЕТ-СЕЙФ» Основной цвет корпуса белый. По согласованию с заказчиком возможна поставка серо-металлического и черного цвета. НСТК.425119.015</v>
      </c>
      <c r="B1049" s="13" t="str">
        <f ca="1">IFERROR(__xludf.DUMMYFUNCTION("""COMPUTED_VALUE"""),"Магнитоконтактный на металлические поверхности миниатюрный с крышкой и встроенной колодкой")</f>
        <v>Магнитоконтактный на металлические поверхности миниатюрный с крышкой и встроенной колодкой</v>
      </c>
      <c r="C1049" s="14">
        <f ca="1">IFERROR(__xludf.DUMMYFUNCTION("""COMPUTED_VALUE"""),1016.8356)</f>
        <v>1016.8356</v>
      </c>
      <c r="D1049" s="13"/>
    </row>
    <row r="1050" spans="1:4" ht="51">
      <c r="A1050" s="12" t="str">
        <f ca="1">IFERROR(__xludf.DUMMYFUNCTION("""COMPUTED_VALUE"""),"ИО 102-29 «ЭСТЕТ-СЕЙФ» с ШВВП 2х0,75. НСТК.425119.015")</f>
        <v>ИО 102-29 «ЭСТЕТ-СЕЙФ» с ШВВП 2х0,75. НСТК.425119.015</v>
      </c>
      <c r="B1050" s="13" t="str">
        <f ca="1">IFERROR(__xludf.DUMMYFUNCTION("""COMPUTED_VALUE"""),"Магнитоконтактный на металлические поверхности миниатюрный с крышкой и встроенной колодкой,с выводом ШВВП 2х0,75 1м")</f>
        <v>Магнитоконтактный на металлические поверхности миниатюрный с крышкой и встроенной колодкой,с выводом ШВВП 2х0,75 1м</v>
      </c>
      <c r="C1050" s="14">
        <f ca="1">IFERROR(__xludf.DUMMYFUNCTION("""COMPUTED_VALUE"""),1151.92)</f>
        <v>1151.92</v>
      </c>
      <c r="D1050" s="13"/>
    </row>
    <row r="1051" spans="1:4" ht="51">
      <c r="A1051" s="12" t="str">
        <f ca="1">IFERROR(__xludf.DUMMYFUNCTION("""COMPUTED_VALUE"""),"ИО 102-29 «ЭСТЕТ-СЕЙФ» - уличный IP 66 Основной цвет корпуса белый. По согласованию с заказчиком возможна поставка серо-металлического и черного цвета. НСТК.425119.015")</f>
        <v>ИО 102-29 «ЭСТЕТ-СЕЙФ» - уличный IP 66 Основной цвет корпуса белый. По согласованию с заказчиком возможна поставка серо-металлического и черного цвета. НСТК.425119.015</v>
      </c>
      <c r="B1051" s="13" t="str">
        <f ca="1">IFERROR(__xludf.DUMMYFUNCTION("""COMPUTED_VALUE"""),"Залит компаундом, вывод 500 мм, до -50 °С, IP 66")</f>
        <v>Залит компаундом, вывод 500 мм, до -50 °С, IP 66</v>
      </c>
      <c r="C1051" s="14">
        <f ca="1">IFERROR(__xludf.DUMMYFUNCTION("""COMPUTED_VALUE"""),1356.3737)</f>
        <v>1356.3737000000001</v>
      </c>
      <c r="D1051" s="13"/>
    </row>
    <row r="1052" spans="1:4" ht="51">
      <c r="A1052" s="12" t="str">
        <f ca="1">IFERROR(__xludf.DUMMYFUNCTION("""COMPUTED_VALUE"""),"ИО 102-29 «ЭСТЕТ-СЕЙФ-ИНВЕРТОР» Основной цвет корпуса белый. По согласованию с заказчиком возможна поставка серо-металлического и черного цвета. НСТК.425119.015")</f>
        <v>ИО 102-29 «ЭСТЕТ-СЕЙФ-ИНВЕРТОР» Основной цвет корпуса белый. По согласованию с заказчиком возможна поставка серо-металлического и черного цвета. НСТК.425119.015</v>
      </c>
      <c r="B1052" s="13" t="str">
        <f ca="1">IFERROR(__xludf.DUMMYFUNCTION("""COMPUTED_VALUE"""),"Магнитоконтактный на металлические поверхности миниатюрный с крышкой и встроенной колодкой, при поднесении магнита ближе 10 мм- РАЗОМКНУТ")</f>
        <v>Магнитоконтактный на металлические поверхности миниатюрный с крышкой и встроенной колодкой, при поднесении магнита ближе 10 мм- РАЗОМКНУТ</v>
      </c>
      <c r="C1052" s="14">
        <f ca="1">IFERROR(__xludf.DUMMYFUNCTION("""COMPUTED_VALUE"""),1955.118)</f>
        <v>1955.1179999999999</v>
      </c>
      <c r="D1052" s="13"/>
    </row>
    <row r="1053" spans="1:4" ht="51">
      <c r="A1053" s="12" t="str">
        <f ca="1">IFERROR(__xludf.DUMMYFUNCTION("""COMPUTED_VALUE"""),"ИО 102-29 «ЭСТЕТ-СЕЙФ-ИНВЕРТОР» уличный IP 66 Основной цвет корпуса белый. По согласованию с заказчиком возможна поставка серо-металлического и черного цвета. НСТК.425119.016")</f>
        <v>ИО 102-29 «ЭСТЕТ-СЕЙФ-ИНВЕРТОР» уличный IP 66 Основной цвет корпуса белый. По согласованию с заказчиком возможна поставка серо-металлического и черного цвета. НСТК.425119.016</v>
      </c>
      <c r="B1053" s="13" t="str">
        <f ca="1">IFERROR(__xludf.DUMMYFUNCTION("""COMPUTED_VALUE"""),"Залит компаундом, вывод 500 мм, до -50 °С, IP 66")</f>
        <v>Залит компаундом, вывод 500 мм, до -50 °С, IP 66</v>
      </c>
      <c r="C1053" s="14">
        <f ca="1">IFERROR(__xludf.DUMMYFUNCTION("""COMPUTED_VALUE"""),2243.34)</f>
        <v>2243.34</v>
      </c>
      <c r="D1053" s="13"/>
    </row>
    <row r="1054" spans="1:4" ht="38.25">
      <c r="A1054" s="12" t="str">
        <f ca="1">IFERROR(__xludf.DUMMYFUNCTION("""COMPUTED_VALUE"""),"ДПМ-1 ПАШК.425119.018")</f>
        <v>ДПМ-1 ПАШК.425119.018</v>
      </c>
      <c r="B1054" s="13" t="str">
        <f ca="1">IFERROR(__xludf.DUMMYFUNCTION("""COMPUTED_VALUE"""),"Накладной на металл, раб. зазор до 40 мм, напряжение до 250В, ток до 1А, раб. температура от +80 до – 50 , НР")</f>
        <v>Накладной на металл, раб. зазор до 40 мм, напряжение до 250В, ток до 1А, раб. температура от +80 до – 50 , НР</v>
      </c>
      <c r="C1054" s="14">
        <f ca="1">IFERROR(__xludf.DUMMYFUNCTION("""COMPUTED_VALUE"""),2416.37)</f>
        <v>2416.37</v>
      </c>
      <c r="D1054" s="13"/>
    </row>
    <row r="1055" spans="1:4" ht="76.5">
      <c r="A1055" s="12" t="str">
        <f ca="1">IFERROR(__xludf.DUMMYFUNCTION("""COMPUTED_VALUE"""),"ДПМ-1 (2хНР)")</f>
        <v>ДПМ-1 (2хНР)</v>
      </c>
      <c r="B1055" s="13" t="str">
        <f ca="1">IFERROR(__xludf.DUMMYFUNCTION("""COMPUTED_VALUE"""),"Контакты датчика гарантированно замыкаются при расстоянии между датчиком и магнитом 25 мм и удерживаются замкнутыми на расстоянии до 40 мм, и гарантированно разомкнуты на расстоянии 90 мм.")</f>
        <v>Контакты датчика гарантированно замыкаются при расстоянии между датчиком и магнитом 25 мм и удерживаются замкнутыми на расстоянии до 40 мм, и гарантированно разомкнуты на расстоянии 90 мм.</v>
      </c>
      <c r="C1055" s="14">
        <f ca="1">IFERROR(__xludf.DUMMYFUNCTION("""COMPUTED_VALUE"""),3199.24)</f>
        <v>3199.24</v>
      </c>
      <c r="D1055" s="13"/>
    </row>
    <row r="1056" spans="1:4" ht="63.75">
      <c r="A1056" s="12" t="str">
        <f ca="1">IFERROR(__xludf.DUMMYFUNCTION("""COMPUTED_VALUE"""),"ДПМ-1 металлорукав из оцинкованной стали ПАШК.425119.018")</f>
        <v>ДПМ-1 металлорукав из оцинкованной стали ПАШК.425119.018</v>
      </c>
      <c r="B1056" s="13" t="str">
        <f ca="1">IFERROR(__xludf.DUMMYFUNCTION("""COMPUTED_VALUE"""),"Накладной на металл, раб. зазор до 40 мм, напряжение до 250В, ток до 1А, раб. температура от +80 до – 50 , НР, металлорукав 850 мм, возможно изготовление м/р до 30 м.")</f>
        <v>Накладной на металл, раб. зазор до 40 мм, напряжение до 250В, ток до 1А, раб. температура от +80 до – 50 , НР, металлорукав 850 мм, возможно изготовление м/р до 30 м.</v>
      </c>
      <c r="C1056" s="14">
        <f ca="1">IFERROR(__xludf.DUMMYFUNCTION("""COMPUTED_VALUE"""),3527.8276)</f>
        <v>3527.8276000000001</v>
      </c>
      <c r="D1056" s="13"/>
    </row>
    <row r="1057" spans="1:4" ht="63.75">
      <c r="A1057" s="12" t="str">
        <f ca="1">IFERROR(__xludf.DUMMYFUNCTION("""COMPUTED_VALUE"""),"ДПМ-1 металлорукав из нержавеющей стали ПАШК.425119.018")</f>
        <v>ДПМ-1 металлорукав из нержавеющей стали ПАШК.425119.018</v>
      </c>
      <c r="B1057" s="13" t="str">
        <f ca="1">IFERROR(__xludf.DUMMYFUNCTION("""COMPUTED_VALUE"""),"Накладной на металл, раб. зазор до 40 мм, напряжение до 250В, ток до 1А, раб. температура от +80 до – 50 , НР, металлорукав 850 мм, возможно изготовление м/р до 30 м.")</f>
        <v>Накладной на металл, раб. зазор до 40 мм, напряжение до 250В, ток до 1А, раб. температура от +80 до – 50 , НР, металлорукав 850 мм, возможно изготовление м/р до 30 м.</v>
      </c>
      <c r="C1057" s="14">
        <f ca="1">IFERROR(__xludf.DUMMYFUNCTION("""COMPUTED_VALUE"""),3806.66)</f>
        <v>3806.66</v>
      </c>
      <c r="D1057" s="13"/>
    </row>
    <row r="1058" spans="1:4" ht="51">
      <c r="A1058" s="12" t="str">
        <f ca="1">IFERROR(__xludf.DUMMYFUNCTION("""COMPUTED_VALUE"""),"ДПМ-1 (переключающий 72В) ПАШК.425119.018")</f>
        <v>ДПМ-1 (переключающий 72В) ПАШК.425119.018</v>
      </c>
      <c r="B1058" s="13" t="str">
        <f ca="1">IFERROR(__xludf.DUMMYFUNCTION("""COMPUTED_VALUE"""),"Накладной на металл, раб. зазор до 40 мм, напряжение до 72В, ток до 1А, раб. температура от +80 до – 50 , переключающий геркон КЭМ-3")</f>
        <v>Накладной на металл, раб. зазор до 40 мм, напряжение до 72В, ток до 1А, раб. температура от +80 до – 50 , переключающий геркон КЭМ-3</v>
      </c>
      <c r="C1058" s="14">
        <f ca="1">IFERROR(__xludf.DUMMYFUNCTION("""COMPUTED_VALUE"""),2891.9)</f>
        <v>2891.9</v>
      </c>
      <c r="D1058" s="13"/>
    </row>
    <row r="1059" spans="1:4" ht="76.5">
      <c r="A1059" s="12" t="str">
        <f ca="1">IFERROR(__xludf.DUMMYFUNCTION("""COMPUTED_VALUE"""),"ДПМ-1 (переключающий 72В) металлорукав из оцинкованной стали ПАШК.425119.018")</f>
        <v>ДПМ-1 (переключающий 72В) металлорукав из оцинкованной стали ПАШК.425119.018</v>
      </c>
      <c r="B1059" s="13" t="str">
        <f ca="1">IFERROR(__xludf.DUMMYFUNCTION("""COMPUTED_VALUE"""),"Накладной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f>
        <v>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v>
      </c>
      <c r="C1059" s="14">
        <f ca="1">IFERROR(__xludf.DUMMYFUNCTION("""COMPUTED_VALUE"""),3557.4)</f>
        <v>3557.4</v>
      </c>
      <c r="D1059" s="13"/>
    </row>
    <row r="1060" spans="1:4" ht="76.5">
      <c r="A1060" s="12" t="str">
        <f ca="1">IFERROR(__xludf.DUMMYFUNCTION("""COMPUTED_VALUE"""),"ДПМ-1 (переключающий 72В) металлорукав из нержавеющей стали ПАШК.425119.018")</f>
        <v>ДПМ-1 (переключающий 72В) металлорукав из нержавеющей стали ПАШК.425119.018</v>
      </c>
      <c r="B1060" s="13" t="str">
        <f ca="1">IFERROR(__xludf.DUMMYFUNCTION("""COMPUTED_VALUE"""),"Накладной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f>
        <v>Накладной на металл, раб. зазор до 40 мм, напряжение до 72В, ток до 1А, раб. температура от +80 до – 50 , переключающий геркон КЭМ-3, металлорукав 850 мм, возможно изготовление м/р до 30 м.</v>
      </c>
      <c r="C1060" s="14">
        <f ca="1">IFERROR(__xludf.DUMMYFUNCTION("""COMPUTED_VALUE"""),3917.0483)</f>
        <v>3917.0482999999999</v>
      </c>
      <c r="D1060" s="13"/>
    </row>
    <row r="1061" spans="1:4" ht="51">
      <c r="A1061" s="12" t="str">
        <f ca="1">IFERROR(__xludf.DUMMYFUNCTION("""COMPUTED_VALUE"""),"ДПМ-1 (переключающий 250В) ПАШК.425119.018")</f>
        <v>ДПМ-1 (переключающий 250В) ПАШК.425119.018</v>
      </c>
      <c r="B1061" s="13" t="str">
        <f ca="1">IFERROR(__xludf.DUMMYFUNCTION("""COMPUTED_VALUE"""),"Накладной на металл, раб. зазор до 40 мм, напряжение до 250В, ток до 1А, раб. температура от +80 до – 50 , переключающий геркон.")</f>
        <v>Накладной на металл, раб. зазор до 40 мм, напряжение до 250В, ток до 1А, раб. температура от +80 до – 50 , переключающий геркон.</v>
      </c>
      <c r="C1061" s="14">
        <f ca="1">IFERROR(__xludf.DUMMYFUNCTION("""COMPUTED_VALUE"""),3475)</f>
        <v>3475</v>
      </c>
      <c r="D1061" s="13"/>
    </row>
    <row r="1062" spans="1:4" ht="38.25">
      <c r="A1062" s="12" t="str">
        <f ca="1">IFERROR(__xludf.DUMMYFUNCTION("""COMPUTED_VALUE"""),"ДПМ-1-З ПАШК.425119.018-1")</f>
        <v>ДПМ-1-З ПАШК.425119.018-1</v>
      </c>
      <c r="B1062" s="13" t="str">
        <f ca="1">IFERROR(__xludf.DUMMYFUNCTION("""COMPUTED_VALUE"""),"Накладной на металл, раб.зазор до 40мм, напряж. до 250В, ток до 5А, мощность до 250Вт., НЗ")</f>
        <v>Накладной на металл, раб.зазор до 40мм, напряж. до 250В, ток до 5А, мощность до 250Вт., НЗ</v>
      </c>
      <c r="C1062" s="14">
        <f ca="1">IFERROR(__xludf.DUMMYFUNCTION("""COMPUTED_VALUE"""),3349.8608)</f>
        <v>3349.8607999999999</v>
      </c>
      <c r="D1062" s="13"/>
    </row>
    <row r="1063" spans="1:4" ht="38.25">
      <c r="A1063" s="12" t="str">
        <f ca="1">IFERROR(__xludf.DUMMYFUNCTION("""COMPUTED_VALUE"""),"ДПМ-1-100 ПАШК.425119.049")</f>
        <v>ДПМ-1-100 ПАШК.425119.049</v>
      </c>
      <c r="B1063" s="13" t="str">
        <f ca="1">IFERROR(__xludf.DUMMYFUNCTION("""COMPUTED_VALUE"""),"Накладной на металл, рабочий зазор 100 мм, напряжение 72В ,температура +80 до-50 категория помещений 1, НР")</f>
        <v>Накладной на металл, рабочий зазор 100 мм, напряжение 72В ,температура +80 до-50 категория помещений 1, НР</v>
      </c>
      <c r="C1063" s="14">
        <f ca="1">IFERROR(__xludf.DUMMYFUNCTION("""COMPUTED_VALUE"""),4838.2697)</f>
        <v>4838.2696999999998</v>
      </c>
      <c r="D1063" s="13"/>
    </row>
    <row r="1064" spans="1:4" ht="51">
      <c r="A1064" s="12" t="str">
        <f ca="1">IFERROR(__xludf.DUMMYFUNCTION("""COMPUTED_VALUE"""),"ДПМ-1П-100 (переключающий 250В) ПАШК 425119.018 ")</f>
        <v xml:space="preserve">ДПМ-1П-100 (переключающий 250В) ПАШК 425119.018 </v>
      </c>
      <c r="B1064" s="13" t="str">
        <f ca="1">IFERROR(__xludf.DUMMYFUNCTION("""COMPUTED_VALUE"""),"Контакты переключены на расстоянии 55 мм и менее; не переключены на расстоянии 100 мм и более, вывод 850мм, IP68, 250В")</f>
        <v>Контакты переключены на расстоянии 55 мм и менее; не переключены на расстоянии 100 мм и более, вывод 850мм, IP68, 250В</v>
      </c>
      <c r="C1064" s="14">
        <f ca="1">IFERROR(__xludf.DUMMYFUNCTION("""COMPUTED_VALUE"""),6249.65)</f>
        <v>6249.65</v>
      </c>
      <c r="D1064" s="13"/>
    </row>
    <row r="1065" spans="1:4" ht="114.75">
      <c r="A1065" s="12" t="str">
        <f ca="1">IFERROR(__xludf.DUMMYFUNCTION("""COMPUTED_VALUE"""),"ДПМ-1 АВТО ПАШК.425119.018")</f>
        <v>ДПМ-1 АВТО ПАШК.425119.018</v>
      </c>
      <c r="B1065" s="13" t="str">
        <f ca="1">IFERROR(__xludf.DUMMYFUNCTION("""COMPUTED_VALUE"""),"Накладной на металл, раб. зазор до 40 мм,
 напряжение до 250В, ток до 1А, раб. температура от +50 до – 50 , НР, присоединенный ударопрочный, масло-бензостойкий кабель 2х0,7 в двойной изоляции в металлорукаве (штатно кабель 85 см, конечная длина по запросу"&amp;")")</f>
        <v>Накладной на металл, раб. зазор до 40 мм,
 напряжение до 250В, ток до 1А, раб. температура от +50 до – 50 , НР, присоединенный ударопрочный, масло-бензостойкий кабель 2х0,7 в двойной изоляции в металлорукаве (штатно кабель 85 см, конечная длина по запросу)</v>
      </c>
      <c r="C1065" s="14">
        <f ca="1">IFERROR(__xludf.DUMMYFUNCTION("""COMPUTED_VALUE"""),2670)</f>
        <v>2670</v>
      </c>
      <c r="D1065" s="13"/>
    </row>
    <row r="1066" spans="1:4" ht="76.5">
      <c r="A1066" s="12" t="str">
        <f ca="1">IFERROR(__xludf.DUMMYFUNCTION("""COMPUTED_VALUE"""),"Кронштейн К-ДПМ1 для монтажа извещателей охранных ДПМ-1, ДПМ-1-100, ДПМГР-2 АТФЕ.687434.185 ТУ")</f>
        <v>Кронштейн К-ДПМ1 для монтажа извещателей охранных ДПМ-1, ДПМ-1-100, ДПМГР-2 АТФЕ.687434.185 ТУ</v>
      </c>
      <c r="B1066" s="13" t="str">
        <f ca="1">IFERROR(__xludf.DUMMYFUNCTION("""COMPUTED_VALUE"""),"для изменения положения при монтаже блока магнита или блока датчика ДПМ-1, ДПМ-1-100 и ДПМГР-2. Позволяет изменить положение одного из блоков на 90 град. Нержавеющая сталь толщиной 1,5 мм")</f>
        <v>для изменения положения при монтаже блока магнита или блока датчика ДПМ-1, ДПМ-1-100 и ДПМГР-2. Позволяет изменить положение одного из блоков на 90 град. Нержавеющая сталь толщиной 1,5 мм</v>
      </c>
      <c r="C1066" s="14">
        <f ca="1">IFERROR(__xludf.DUMMYFUNCTION("""COMPUTED_VALUE"""),519.09)</f>
        <v>519.09</v>
      </c>
      <c r="D1066" s="13"/>
    </row>
    <row r="1067" spans="1:4" ht="63.75">
      <c r="A1067" s="12" t="str">
        <f ca="1">IFERROR(__xludf.DUMMYFUNCTION("""COMPUTED_VALUE"""),"КР-ДПМ-1 Нержавейка")</f>
        <v>КР-ДПМ-1 Нержавейка</v>
      </c>
      <c r="B1067"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067" s="14">
        <f ca="1">IFERROR(__xludf.DUMMYFUNCTION("""COMPUTED_VALUE"""),670)</f>
        <v>670</v>
      </c>
      <c r="D1067" s="13"/>
    </row>
    <row r="1068" spans="1:4" ht="51">
      <c r="A1068" s="12" t="str">
        <f ca="1">IFERROR(__xludf.DUMMYFUNCTION("""COMPUTED_VALUE"""),"ДПМ-2 исп.00 ПАШК.425119.021")</f>
        <v>ДПМ-2 исп.00 ПАШК.425119.021</v>
      </c>
      <c r="B1068" s="13" t="str">
        <f ca="1">IFERROR(__xludf.DUMMYFUNCTION("""COMPUTED_VALUE"""),"Накладной на металл НР, напряжение до 72В, зазор до 40мм, провод 350 мм, двойная изоляция С увеличенным расстоянием срабатывания плюс 30 руб.")</f>
        <v>Накладной на металл НР, напряжение до 72В, зазор до 40мм, провод 350 мм, двойная изоляция С увеличенным расстоянием срабатывания плюс 30 руб.</v>
      </c>
      <c r="C1068" s="14">
        <f ca="1">IFERROR(__xludf.DUMMYFUNCTION("""COMPUTED_VALUE"""),520.6971)</f>
        <v>520.69709999999998</v>
      </c>
      <c r="D1068" s="13"/>
    </row>
    <row r="1069" spans="1:4" ht="12.75">
      <c r="A1069" s="12" t="str">
        <f ca="1">IFERROR(__xludf.DUMMYFUNCTION("""COMPUTED_VALUE"""),"ДПМ-2 исп.00 R ПАШК.425119.021")</f>
        <v>ДПМ-2 исп.00 R ПАШК.425119.021</v>
      </c>
      <c r="B1069" s="13" t="str">
        <f ca="1">IFERROR(__xludf.DUMMYFUNCTION("""COMPUTED_VALUE"""),"с резистором R=3,9кОм")</f>
        <v>с резистором R=3,9кОм</v>
      </c>
      <c r="C1069" s="14">
        <f ca="1">IFERROR(__xludf.DUMMYFUNCTION("""COMPUTED_VALUE"""),944.7438)</f>
        <v>944.74379999999996</v>
      </c>
      <c r="D1069" s="13"/>
    </row>
    <row r="1070" spans="1:4" ht="63.75">
      <c r="A1070" s="12" t="str">
        <f ca="1">IFERROR(__xludf.DUMMYFUNCTION("""COMPUTED_VALUE"""),"ДПМ-2 исп.00 FRHF ПАШК.425119.021")</f>
        <v>ДПМ-2 исп.00 FRHF ПАШК.425119.021</v>
      </c>
      <c r="B1070" s="13" t="str">
        <f ca="1">IFERROR(__xludf.DUMMYFUNCTION("""COMPUTED_VALUE"""),"Накладной на металл НР, напряжение до 72В, 
 зазор до 40мм, присоединенный кабель FRHF огнестойкий безгалогенный в двойной изоляции 350 мм.")</f>
        <v>Накладной на металл НР, напряжение до 72В, 
 зазор до 40мм, присоединенный кабель FRHF огнестойкий безгалогенный в двойной изоляции 350 мм.</v>
      </c>
      <c r="C1070" s="14">
        <f ca="1">IFERROR(__xludf.DUMMYFUNCTION("""COMPUTED_VALUE"""),670)</f>
        <v>670</v>
      </c>
      <c r="D1070" s="13"/>
    </row>
    <row r="1071" spans="1:4" ht="76.5">
      <c r="A1071" s="12" t="str">
        <f ca="1">IFERROR(__xludf.DUMMYFUNCTION("""COMPUTED_VALUE"""),"ДПМ-2 исп. АВТО ПАШК.425119.021")</f>
        <v>ДПМ-2 исп. АВТО ПАШК.425119.021</v>
      </c>
      <c r="B1071" s="13" t="str">
        <f ca="1">IFERROR(__xludf.DUMMYFUNCTION("""COMPUTED_VALUE"""),"Накладной на металл НР, напряжение до 72В, 
 зазор до 40мм, присоединенный ударопрочный, масло-бензостойкий кабель 2х0,7 в двойной изоляции в металлорукаве 350 мм.")</f>
        <v>Накладной на металл НР, напряжение до 72В, 
 зазор до 40мм, присоединенный ударопрочный, масло-бензостойкий кабель 2х0,7 в двойной изоляции в металлорукаве 350 мм.</v>
      </c>
      <c r="C1071" s="14">
        <f ca="1">IFERROR(__xludf.DUMMYFUNCTION("""COMPUTED_VALUE"""),820)</f>
        <v>820</v>
      </c>
      <c r="D1071" s="13"/>
    </row>
    <row r="1072" spans="1:4" ht="51">
      <c r="A1072" s="12" t="str">
        <f ca="1">IFERROR(__xludf.DUMMYFUNCTION("""COMPUTED_VALUE"""),"ДПМ-2 исп.01 ПАШК.425119.021")</f>
        <v>ДПМ-2 исп.01 ПАШК.425119.021</v>
      </c>
      <c r="B1072" s="13" t="str">
        <f ca="1">IFERROR(__xludf.DUMMYFUNCTION("""COMPUTED_VALUE"""),"Накладной на металл НР, напряжение до 72В, зазор до 40мм, внутренний разъём С увеличенным расстоянием срабатывания плюс 30 руб.")</f>
        <v>Накладной на металл НР, напряжение до 72В, зазор до 40мм, внутренний разъём С увеличенным расстоянием срабатывания плюс 30 руб.</v>
      </c>
      <c r="C1072" s="14">
        <f ca="1">IFERROR(__xludf.DUMMYFUNCTION("""COMPUTED_VALUE"""),556.5)</f>
        <v>556.5</v>
      </c>
      <c r="D1072" s="13"/>
    </row>
    <row r="1073" spans="1:4" ht="38.25">
      <c r="A1073" s="12" t="str">
        <f ca="1">IFERROR(__xludf.DUMMYFUNCTION("""COMPUTED_VALUE"""),"ДПМ-2 исп.01/1 ПАШК.425119.021")</f>
        <v>ДПМ-2 исп.01/1 ПАШК.425119.021</v>
      </c>
      <c r="B1073" s="13" t="str">
        <f ca="1">IFERROR(__xludf.DUMMYFUNCTION("""COMPUTED_VALUE"""),"Винтовые клеммы (винт М3 (0.5-2,5мм2 ) С увеличенным расстоянием срабатывания плюс 30 руб.")</f>
        <v>Винтовые клеммы (винт М3 (0.5-2,5мм2 ) С увеличенным расстоянием срабатывания плюс 30 руб.</v>
      </c>
      <c r="C1073" s="14">
        <f ca="1">IFERROR(__xludf.DUMMYFUNCTION("""COMPUTED_VALUE"""),749.2485)</f>
        <v>749.24850000000004</v>
      </c>
      <c r="D1073" s="13"/>
    </row>
    <row r="1074" spans="1:4" ht="25.5">
      <c r="A1074" s="12" t="str">
        <f ca="1">IFERROR(__xludf.DUMMYFUNCTION("""COMPUTED_VALUE"""),"ДПМ-2 исп.01/2 ПАШК.425119.021")</f>
        <v>ДПМ-2 исп.01/2 ПАШК.425119.021</v>
      </c>
      <c r="B1074" s="13" t="str">
        <f ca="1">IFERROR(__xludf.DUMMYFUNCTION("""COMPUTED_VALUE"""),"винт М3 (0.5-2,5мм2 ) С увеличенным расстоянием срабатывания плюс 30 руб.")</f>
        <v>винт М3 (0.5-2,5мм2 ) С увеличенным расстоянием срабатывания плюс 30 руб.</v>
      </c>
      <c r="C1074" s="14">
        <f ca="1">IFERROR(__xludf.DUMMYFUNCTION("""COMPUTED_VALUE"""),826.82985)</f>
        <v>826.82984999999996</v>
      </c>
      <c r="D1074" s="13"/>
    </row>
    <row r="1075" spans="1:4" ht="12.75">
      <c r="A1075" s="12" t="str">
        <f ca="1">IFERROR(__xludf.DUMMYFUNCTION("""COMPUTED_VALUE"""),"ДПМ-2 исп.01 R ПАШК.425119.021")</f>
        <v>ДПМ-2 исп.01 R ПАШК.425119.021</v>
      </c>
      <c r="B1075" s="13" t="str">
        <f ca="1">IFERROR(__xludf.DUMMYFUNCTION("""COMPUTED_VALUE"""),"с резистором")</f>
        <v>с резистором</v>
      </c>
      <c r="C1075" s="14">
        <f ca="1">IFERROR(__xludf.DUMMYFUNCTION("""COMPUTED_VALUE"""),979.26675)</f>
        <v>979.26675</v>
      </c>
      <c r="D1075" s="13"/>
    </row>
    <row r="1076" spans="1:4" ht="63.75">
      <c r="A1076" s="12" t="str">
        <f ca="1">IFERROR(__xludf.DUMMYFUNCTION("""COMPUTED_VALUE"""),"ДПМ-2 исп.02 ПАШК.425119.021")</f>
        <v>ДПМ-2 исп.02 ПАШК.425119.021</v>
      </c>
      <c r="B1076" s="13" t="str">
        <f ca="1">IFERROR(__xludf.DUMMYFUNCTION("""COMPUTED_VALUE"""),"Накладной на металл перекл., напряжение до 72В, зазор до 40мм, провод 350 мм, двойная изоляция С увеличенным расстоянием срабатывания плюс 30 руб.")</f>
        <v>Накладной на металл перекл., напряжение до 72В, зазор до 40мм, провод 350 мм, двойная изоляция С увеличенным расстоянием срабатывания плюс 30 руб.</v>
      </c>
      <c r="C1076" s="14">
        <f ca="1">IFERROR(__xludf.DUMMYFUNCTION("""COMPUTED_VALUE"""),1512)</f>
        <v>1512</v>
      </c>
      <c r="D1076" s="13"/>
    </row>
    <row r="1077" spans="1:4" ht="12.75">
      <c r="A1077" s="12" t="str">
        <f ca="1">IFERROR(__xludf.DUMMYFUNCTION("""COMPUTED_VALUE"""),"ДПМ-2 исп.02 R ПАШК.425119.021")</f>
        <v>ДПМ-2 исп.02 R ПАШК.425119.021</v>
      </c>
      <c r="B1077" s="13" t="str">
        <f ca="1">IFERROR(__xludf.DUMMYFUNCTION("""COMPUTED_VALUE"""),"с резистором")</f>
        <v>с резистором</v>
      </c>
      <c r="C1077" s="14">
        <f ca="1">IFERROR(__xludf.DUMMYFUNCTION("""COMPUTED_VALUE"""),1942.5)</f>
        <v>1942.5</v>
      </c>
      <c r="D1077" s="13"/>
    </row>
    <row r="1078" spans="1:4" ht="51">
      <c r="A1078" s="12" t="str">
        <f ca="1">IFERROR(__xludf.DUMMYFUNCTION("""COMPUTED_VALUE"""),"ДПМ-2 исп.03 ПАШК.425119.021")</f>
        <v>ДПМ-2 исп.03 ПАШК.425119.021</v>
      </c>
      <c r="B1078" s="13" t="str">
        <f ca="1">IFERROR(__xludf.DUMMYFUNCTION("""COMPUTED_VALUE"""),"Накладной на металл перекл., напряжение до 72В, зазор до 40мм, внутренний разъём С увеличенным расстоянием срабатывания плюс 30 руб.")</f>
        <v>Накладной на металл перекл., напряжение до 72В, зазор до 40мм, внутренний разъём С увеличенным расстоянием срабатывания плюс 30 руб.</v>
      </c>
      <c r="C1078" s="14">
        <f ca="1">IFERROR(__xludf.DUMMYFUNCTION("""COMPUTED_VALUE"""),1255.4157)</f>
        <v>1255.4157</v>
      </c>
      <c r="D1078" s="13"/>
    </row>
    <row r="1079" spans="1:4" ht="38.25">
      <c r="A1079" s="12" t="str">
        <f ca="1">IFERROR(__xludf.DUMMYFUNCTION("""COMPUTED_VALUE"""),"ДПМ-2 исп.03/1 ПАШК.425119.021")</f>
        <v>ДПМ-2 исп.03/1 ПАШК.425119.021</v>
      </c>
      <c r="B1079" s="13" t="str">
        <f ca="1">IFERROR(__xludf.DUMMYFUNCTION("""COMPUTED_VALUE"""),"Винтовые клеммы, винт М3 (0.5-2,5мм2 ), переключающий геркон С увеличенным расстоянием срабатывания плюс 30 руб.")</f>
        <v>Винтовые клеммы, винт М3 (0.5-2,5мм2 ), переключающий геркон С увеличенным расстоянием срабатывания плюс 30 руб.</v>
      </c>
      <c r="C1079" s="14">
        <f ca="1">IFERROR(__xludf.DUMMYFUNCTION("""COMPUTED_VALUE"""),1223.98815)</f>
        <v>1223.9881499999999</v>
      </c>
      <c r="D1079" s="13"/>
    </row>
    <row r="1080" spans="1:4" ht="38.25">
      <c r="A1080" s="12" t="str">
        <f ca="1">IFERROR(__xludf.DUMMYFUNCTION("""COMPUTED_VALUE"""),"ДПМ-2 исп.03/2 ПАШК.425119.021")</f>
        <v>ДПМ-2 исп.03/2 ПАШК.425119.021</v>
      </c>
      <c r="B1080" s="13" t="str">
        <f ca="1">IFERROR(__xludf.DUMMYFUNCTION("""COMPUTED_VALUE"""),"Клеммы экспрессмонтажа (Wago) 
  (0,2-0,75мм2) С увеличенным расстоянием срабатывания плюс 30 руб.")</f>
        <v>Клеммы экспрессмонтажа (Wago) 
  (0,2-0,75мм2) С увеличенным расстоянием срабатывания плюс 30 руб.</v>
      </c>
      <c r="C1080" s="14">
        <f ca="1">IFERROR(__xludf.DUMMYFUNCTION("""COMPUTED_VALUE"""),1346.25645)</f>
        <v>1346.2564500000001</v>
      </c>
      <c r="D1080" s="13"/>
    </row>
    <row r="1081" spans="1:4" ht="12.75">
      <c r="A1081" s="12" t="str">
        <f ca="1">IFERROR(__xludf.DUMMYFUNCTION("""COMPUTED_VALUE"""),"ДПМ-2 исп.03 R ПАШК.425119.021")</f>
        <v>ДПМ-2 исп.03 R ПАШК.425119.021</v>
      </c>
      <c r="B1081" s="13" t="str">
        <f ca="1">IFERROR(__xludf.DUMMYFUNCTION("""COMPUTED_VALUE"""),"с резистором")</f>
        <v>с резистором</v>
      </c>
      <c r="C1081" s="14">
        <f ca="1">IFERROR(__xludf.DUMMYFUNCTION("""COMPUTED_VALUE"""),1326.64455)</f>
        <v>1326.64455</v>
      </c>
      <c r="D1081" s="13"/>
    </row>
    <row r="1082" spans="1:4" ht="63.75">
      <c r="A1082" s="12" t="str">
        <f ca="1">IFERROR(__xludf.DUMMYFUNCTION("""COMPUTED_VALUE"""),"ДПМ-2 исп.04 металлорукав из оцинкованной стали ПАШК.425119.021")</f>
        <v>ДПМ-2 исп.04 металлорукав из оцинкованной стали ПАШК.425119.021</v>
      </c>
      <c r="B1082" s="13" t="str">
        <f ca="1">IFERROR(__xludf.DUMMYFUNCTION("""COMPUTED_VALUE"""),"Накладной на металл НР, зазор 40мм, оцинкованный металлоукав 700 мм, возможно изготовление м/р до 30 м. С увеличенным расстоянием срабатывания плюс 30 руб.")</f>
        <v>Накладной на металл НР, зазор 40мм, оцинкованный металлоукав 700 мм, возможно изготовление м/р до 30 м. С увеличенным расстоянием срабатывания плюс 30 руб.</v>
      </c>
      <c r="C1082" s="14">
        <f ca="1">IFERROR(__xludf.DUMMYFUNCTION("""COMPUTED_VALUE"""),1029)</f>
        <v>1029</v>
      </c>
      <c r="D1082" s="13"/>
    </row>
    <row r="1083" spans="1:4" ht="12.75">
      <c r="A1083" s="12" t="str">
        <f ca="1">IFERROR(__xludf.DUMMYFUNCTION("""COMPUTED_VALUE"""),"ДПМ-2 исп.04 R ПАШК.425119.021")</f>
        <v>ДПМ-2 исп.04 R ПАШК.425119.021</v>
      </c>
      <c r="B1083" s="13" t="str">
        <f ca="1">IFERROR(__xludf.DUMMYFUNCTION("""COMPUTED_VALUE"""),"с резистором")</f>
        <v>с резистором</v>
      </c>
      <c r="C1083" s="14">
        <f ca="1">IFERROR(__xludf.DUMMYFUNCTION("""COMPUTED_VALUE"""),1084.65)</f>
        <v>1084.6500000000001</v>
      </c>
      <c r="D1083" s="13"/>
    </row>
    <row r="1084" spans="1:4" ht="38.25">
      <c r="A1084" s="12" t="str">
        <f ca="1">IFERROR(__xludf.DUMMYFUNCTION("""COMPUTED_VALUE"""),"ДПМ-2 исп.04 металлорукав из нержавеющей стали ПАШК.425119.021")</f>
        <v>ДПМ-2 исп.04 металлорукав из нержавеющей стали ПАШК.425119.021</v>
      </c>
      <c r="B1084" s="13" t="str">
        <f ca="1">IFERROR(__xludf.DUMMYFUNCTION("""COMPUTED_VALUE"""),"Накладной на металл НР, зазор 40мм, металлоукав из нержавеющей стали 700 мм, возможно изготовление м/р до 30 м.")</f>
        <v>Накладной на металл НР, зазор 40мм, металлоукав из нержавеющей стали 700 мм, возможно изготовление м/р до 30 м.</v>
      </c>
      <c r="C1084" s="14">
        <f ca="1">IFERROR(__xludf.DUMMYFUNCTION("""COMPUTED_VALUE"""),1304.1)</f>
        <v>1304.0999999999999</v>
      </c>
      <c r="D1084" s="13"/>
    </row>
    <row r="1085" spans="1:4" ht="76.5">
      <c r="A1085" s="12" t="str">
        <f ca="1">IFERROR(__xludf.DUMMYFUNCTION("""COMPUTED_VALUE"""),"ДПМ-2 исп. 05 металлорукав из оцинкованной стали ПАШК.425119.021")</f>
        <v>ДПМ-2 исп. 05 металлорукав из оцинкованной стали ПАШК.425119.021</v>
      </c>
      <c r="B1085" s="13" t="str">
        <f ca="1">IFERROR(__xludf.DUMMYFUNCTION("""COMPUTED_VALUE"""),"Накладной на металл перекл., напряжение до 72В, зазор до 40мм, оцинкованный металлорукав 700 мм, возможно изготовление м/р до 30 м. С увеличенным расстоянием срабатывания плюс 30 руб.")</f>
        <v>Накладной на металл перекл., напряжение до 72В, зазор до 40мм, оцинкованный металлорукав 700 мм, возможно изготовление м/р до 30 м. С увеличенным расстоянием срабатывания плюс 30 руб.</v>
      </c>
      <c r="C1085" s="14">
        <f ca="1">IFERROR(__xludf.DUMMYFUNCTION("""COMPUTED_VALUE"""),921.12405)</f>
        <v>921.12405000000001</v>
      </c>
      <c r="D1085" s="13"/>
    </row>
    <row r="1086" spans="1:4" ht="76.5">
      <c r="A1086" s="12" t="str">
        <f ca="1">IFERROR(__xludf.DUMMYFUNCTION("""COMPUTED_VALUE"""),"ДПМ-2 исп. 05 металлорукав из нержавеющей стали ПАШК.425119.021")</f>
        <v>ДПМ-2 исп. 05 металлорукав из нержавеющей стали ПАШК.425119.021</v>
      </c>
      <c r="B1086" s="13" t="str">
        <f ca="1">IFERROR(__xludf.DUMMYFUNCTION("""COMPUTED_VALUE"""),"Накладной на металл перекл., напряжение до 72В, зазор до 40мм, металлорукав из нержавеющей стали 700 мм, возможно изготовление м/р до 30 м. С увеличенным расстоянием срабатывания плюс 30 руб.")</f>
        <v>Накладной на металл перекл., напряжение до 72В, зазор до 40мм, металлорукав из нержавеющей стали 700 мм, возможно изготовление м/р до 30 м. С увеличенным расстоянием срабатывания плюс 30 руб.</v>
      </c>
      <c r="C1086" s="14">
        <f ca="1">IFERROR(__xludf.DUMMYFUNCTION("""COMPUTED_VALUE"""),1218)</f>
        <v>1218</v>
      </c>
      <c r="D1086" s="13"/>
    </row>
    <row r="1087" spans="1:4" ht="12.75">
      <c r="A1087" s="12" t="str">
        <f ca="1">IFERROR(__xludf.DUMMYFUNCTION("""COMPUTED_VALUE"""),"ДПМ-2 исп. 05 R ПАШК.425119.021")</f>
        <v>ДПМ-2 исп. 05 R ПАШК.425119.021</v>
      </c>
      <c r="B1087" s="13" t="str">
        <f ca="1">IFERROR(__xludf.DUMMYFUNCTION("""COMPUTED_VALUE"""),"с резистором")</f>
        <v>с резистором</v>
      </c>
      <c r="C1087" s="14">
        <f ca="1">IFERROR(__xludf.DUMMYFUNCTION("""COMPUTED_VALUE"""),1441.65)</f>
        <v>1441.65</v>
      </c>
      <c r="D1087" s="13"/>
    </row>
    <row r="1088" spans="1:4" ht="63.75">
      <c r="A1088" s="12" t="str">
        <f ca="1">IFERROR(__xludf.DUMMYFUNCTION("""COMPUTED_VALUE"""),"ДПМ-2 исп. 06 металлорукав из оцинкованной стали ПАШК.425119.021")</f>
        <v>ДПМ-2 исп. 06 металлорукав из оцинкованной стали ПАШК.425119.021</v>
      </c>
      <c r="B1088" s="13" t="str">
        <f ca="1">IFERROR(__xludf.DUMMYFUNCTION("""COMPUTED_VALUE"""),"Напольный накладной на метал. Поверхностный, НР, оцинкованный металлорукав, возможно изготовление м/р до 30 м. С увеличенным расстоянием срабатывания плюс 30 руб.")</f>
        <v>Напольный накладной на метал. Поверхностный, НР, оцинкованный металлорукав, возможно изготовление м/р до 30 м. С увеличенным расстоянием срабатывания плюс 30 руб.</v>
      </c>
      <c r="C1088" s="14">
        <f ca="1">IFERROR(__xludf.DUMMYFUNCTION("""COMPUTED_VALUE"""),556.5)</f>
        <v>556.5</v>
      </c>
      <c r="D1088" s="13"/>
    </row>
    <row r="1089" spans="1:4" ht="12.75">
      <c r="A1089" s="12" t="str">
        <f ca="1">IFERROR(__xludf.DUMMYFUNCTION("""COMPUTED_VALUE"""),"ДПМ-2 исп. 06 R ПАШК.425119.021")</f>
        <v>ДПМ-2 исп. 06 R ПАШК.425119.021</v>
      </c>
      <c r="B1089" s="13" t="str">
        <f ca="1">IFERROR(__xludf.DUMMYFUNCTION("""COMPUTED_VALUE"""),"с резистором")</f>
        <v>с резистором</v>
      </c>
      <c r="C1089" s="14">
        <f ca="1">IFERROR(__xludf.DUMMYFUNCTION("""COMPUTED_VALUE"""),979.8096)</f>
        <v>979.80960000000005</v>
      </c>
      <c r="D1089" s="13"/>
    </row>
    <row r="1090" spans="1:4" ht="51">
      <c r="A1090" s="12" t="str">
        <f ca="1">IFERROR(__xludf.DUMMYFUNCTION("""COMPUTED_VALUE"""),"ДПМ-2 исп. 06 металлорукав из нержавеющей стали ПАШК.425119.021")</f>
        <v>ДПМ-2 исп. 06 металлорукав из нержавеющей стали ПАШК.425119.021</v>
      </c>
      <c r="B1090" s="13" t="str">
        <f ca="1">IFERROR(__xludf.DUMMYFUNCTION("""COMPUTED_VALUE"""),"Напольный накладной на метал. Поверхностный, НР, металлорукав из нержавеющей стали , возможно изготовление м/р до 30 м.")</f>
        <v>Напольный накладной на метал. Поверхностный, НР, металлорукав из нержавеющей стали , возможно изготовление м/р до 30 м.</v>
      </c>
      <c r="C1090" s="14">
        <f ca="1">IFERROR(__xludf.DUMMYFUNCTION("""COMPUTED_VALUE"""),781.2)</f>
        <v>781.2</v>
      </c>
      <c r="D1090" s="13"/>
    </row>
    <row r="1091" spans="1:4" ht="51">
      <c r="A1091" s="12" t="str">
        <f ca="1">IFERROR(__xludf.DUMMYFUNCTION("""COMPUTED_VALUE"""),"ДПМ-2 исп. 07 металлорукав из оцинкованной стали ПАШК.425119.021")</f>
        <v>ДПМ-2 исп. 07 металлорукав из оцинкованной стали ПАШК.425119.021</v>
      </c>
      <c r="B1091" s="13" t="str">
        <f ca="1">IFERROR(__xludf.DUMMYFUNCTION("""COMPUTED_VALUE"""),"Напольный накладной на метал. поверхностный, переключ. оцинкованный металлорукав, возможно изготовление м/р до 30 м.")</f>
        <v>Напольный накладной на метал. поверхностный, переключ. оцинкованный металлорукав, возможно изготовление м/р до 30 м.</v>
      </c>
      <c r="C1091" s="14">
        <f ca="1">IFERROR(__xludf.DUMMYFUNCTION("""COMPUTED_VALUE"""),921.12405)</f>
        <v>921.12405000000001</v>
      </c>
      <c r="D1091" s="13"/>
    </row>
    <row r="1092" spans="1:4" ht="12.75">
      <c r="A1092" s="12" t="str">
        <f ca="1">IFERROR(__xludf.DUMMYFUNCTION("""COMPUTED_VALUE"""),"ДПМ-2 исп. 07 R ПАШК.425119.021")</f>
        <v>ДПМ-2 исп. 07 R ПАШК.425119.021</v>
      </c>
      <c r="B1092" s="13" t="str">
        <f ca="1">IFERROR(__xludf.DUMMYFUNCTION("""COMPUTED_VALUE"""),"с резистором")</f>
        <v>с резистором</v>
      </c>
      <c r="C1092" s="14">
        <f ca="1">IFERROR(__xludf.DUMMYFUNCTION("""COMPUTED_VALUE"""),1353.53295)</f>
        <v>1353.53295</v>
      </c>
      <c r="D1092" s="13"/>
    </row>
    <row r="1093" spans="1:4" ht="51">
      <c r="A1093" s="12" t="str">
        <f ca="1">IFERROR(__xludf.DUMMYFUNCTION("""COMPUTED_VALUE"""),"ДПМ-2 исп. 07 металлорукав из нержавеющей стали ПАШК.425119.021")</f>
        <v>ДПМ-2 исп. 07 металлорукав из нержавеющей стали ПАШК.425119.021</v>
      </c>
      <c r="B1093" s="13" t="str">
        <f ca="1">IFERROR(__xludf.DUMMYFUNCTION("""COMPUTED_VALUE"""),"Напольный накладной на метал. поверхностный, переключ. металлорукав из нержавеющей стали , возможно изготовление м/р до 30 м.")</f>
        <v>Напольный накладной на метал. поверхностный, переключ. металлорукав из нержавеющей стали , возможно изготовление м/р до 30 м.</v>
      </c>
      <c r="C1093" s="14">
        <f ca="1">IFERROR(__xludf.DUMMYFUNCTION("""COMPUTED_VALUE"""),1114.05)</f>
        <v>1114.05</v>
      </c>
      <c r="D1093" s="13"/>
    </row>
    <row r="1094" spans="1:4" ht="114.75">
      <c r="A1094" s="12" t="str">
        <f ca="1">IFERROR(__xludf.DUMMYFUNCTION("""COMPUTED_VALUE"""),"ДПМ-2-исп.100 ПАШК.425119.058")</f>
        <v>ДПМ-2-исп.100 ПАШК.425119.058</v>
      </c>
      <c r="B1094" s="13" t="str">
        <f ca="1">IFERROR(__xludf.DUMMYFUNCTION("""COMPUTED_VALUE"""),"Датчик металлический, на металл, НР, раст. сраб. 30 мм , Uкомут. – 0,02-72 В, Iкоммут. -0.01-0.5 А, Pкоммут. не более 10 Вт,IP 68, провод 1000 мм, двойная изоляция. Покрытие корпусов вандалоустойчивыми красками: Антик, Антик серебряный, порошковые - +150 "&amp;"руб., покрытие простыми красками - + 100руб.")</f>
        <v>Датчик металлический, на металл, НР, раст. сраб. 30 мм , Uкомут. – 0,02-72 В, Iкоммут. -0.01-0.5 А, Pкоммут. не более 10 Вт,IP 68, провод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94" s="14">
        <f ca="1">IFERROR(__xludf.DUMMYFUNCTION("""COMPUTED_VALUE"""),2871)</f>
        <v>2871</v>
      </c>
      <c r="D1094" s="13"/>
    </row>
    <row r="1095" spans="1:4" ht="114.75">
      <c r="A1095" s="12" t="str">
        <f ca="1">IFERROR(__xludf.DUMMYFUNCTION("""COMPUTED_VALUE"""),"ДПМ-2-исп.102 ПАШК.425119.058")</f>
        <v>ДПМ-2-исп.102 ПАШК.425119.058</v>
      </c>
      <c r="B1095" s="13" t="str">
        <f ca="1">IFERROR(__xludf.DUMMYFUNCTION("""COMPUTED_VALUE"""),"Датчик металлический, на металл, Переключающий, раст. сраб. 24 мм , Uкомут. – 0,02-72 В, Iкоммут. -0.01-0.5 А, Pкоммут. не более 10 Вт. IP 68 , провод 1000 мм, двойная изоляция. Покрытие корпусов вандалоустойчивыми красками: Антик, Антик серебряный, порош"&amp;"ковые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провод 1000 мм, двойная изоляция. Покрытие корпусов вандалоустойчивыми красками: Антик, Антик серебряный, порошковые - +150 руб., покрытие простыми красками - + 100руб.</v>
      </c>
      <c r="C1095" s="14">
        <f ca="1">IFERROR(__xludf.DUMMYFUNCTION("""COMPUTED_VALUE"""),3330.8)</f>
        <v>3330.8</v>
      </c>
      <c r="D1095" s="13"/>
    </row>
    <row r="1096" spans="1:4" ht="114.75">
      <c r="A1096" s="12" t="str">
        <f ca="1">IFERROR(__xludf.DUMMYFUNCTION("""COMPUTED_VALUE"""),"ДПМ-2-исп.104 металлорукав из оцинкованной стали ПАШК.425119.058")</f>
        <v>ДПМ-2-исп.104 металлорукав из оцинкованной стали ПАШК.425119.058</v>
      </c>
      <c r="B1096" s="13" t="str">
        <f ca="1">IFERROR(__xludf.DUMMYFUNCTION("""COMPUTED_VALUE"""),"Датчик металлический,на металл, НР, раст. сраб. 30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+150"&amp;" руб., покрытие простыми красками - + 100руб.")</f>
        <v>Датчик металлический,на металл, НР, раст. сраб. 30 мм , Uкомут. – 0,02-72 В, Iкоммут. -0.01-0.5 А, Pкоммут. не более 10 Вт, IP 68,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096" s="14">
        <f ca="1">IFERROR(__xludf.DUMMYFUNCTION("""COMPUTED_VALUE"""),2970)</f>
        <v>2970</v>
      </c>
      <c r="D1096" s="13"/>
    </row>
    <row r="1097" spans="1:4" ht="114.75">
      <c r="A1097" s="12" t="str">
        <f ca="1">IFERROR(__xludf.DUMMYFUNCTION("""COMPUTED_VALUE"""),"ДПМ-2-исп.104 металлорукав из нержавеющей стали ПАШК.425119.058")</f>
        <v>ДПМ-2-исп.104 металлорукав из нержавеющей стали ПАШК.425119.058</v>
      </c>
      <c r="B1097" s="13" t="str">
        <f ca="1">IFERROR(__xludf.DUMMYFUNCTION("""COMPUTED_VALUE"""),"Датчик металлический,на металл, НР, раст. сраб. 30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порошковы"&amp;"е - +150 руб., покрытие простыми красками - + 100руб.")</f>
        <v>Датчик металлический,на металл, НР, раст. сраб. 30 мм , Uкомут. – 0,02-72 В, Iкоммут. -0.01-0.5 А, Pкоммут. не более 10 Вт, IP 68,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097" s="14">
        <f ca="1">IFERROR(__xludf.DUMMYFUNCTION("""COMPUTED_VALUE"""),3349.8608)</f>
        <v>3349.8607999999999</v>
      </c>
      <c r="D1097" s="13"/>
    </row>
    <row r="1098" spans="1:4" ht="114.75">
      <c r="A1098" s="12" t="str">
        <f ca="1">IFERROR(__xludf.DUMMYFUNCTION("""COMPUTED_VALUE"""),"ДПМ-2-исп.105 металлорукав из оцинкованной стали ПАШК.425119.058")</f>
        <v>ДПМ-2-исп.105 металлорукав из оцинкованной стали ПАШК.425119.058</v>
      </c>
      <c r="B1098" s="13" t="str">
        <f ca="1">IFERROR(__xludf.DUMMYFUNCTION("""COMPUTED_VALUE"""),"Датчик металлический, на металл, Переключающий, раст. сраб. 24 мм , Uкомут. – 0,02-72 В, Iкоммут. -0.01-0.5 А, Pкоммут. не более 10 Вт. IP 68 , оцинкованный металлорукав 1000 мм. Покрытие корпусов вандалоустойчивыми красками: Антик, Антик серебряный, поро"&amp;"шковые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оцинкованный металлорукав 1000 мм. Покрытие корпусов вандалоустойчивыми красками: Антик, Антик серебряный, порошковые - +150 руб., покрытие простыми красками - + 100руб.</v>
      </c>
      <c r="C1098" s="14">
        <f ca="1">IFERROR(__xludf.DUMMYFUNCTION("""COMPUTED_VALUE"""),3674)</f>
        <v>3674</v>
      </c>
      <c r="D1098" s="13"/>
    </row>
    <row r="1099" spans="1:4" ht="127.5">
      <c r="A1099" s="12" t="str">
        <f ca="1">IFERROR(__xludf.DUMMYFUNCTION("""COMPUTED_VALUE"""),"ДПМ-2-исп.105 металлорукав из нержавеющей стали ПАШК.425119.058")</f>
        <v>ДПМ-2-исп.105 металлорукав из нержавеющей стали ПАШК.425119.058</v>
      </c>
      <c r="B1099" s="13" t="str">
        <f ca="1">IFERROR(__xludf.DUMMYFUNCTION("""COMPUTED_VALUE"""),"Датчик металлический, на металл, Переключающий, раст. сраб. 24 мм , Uкомут. – 0,02-72 В, Iкоммут. -0.01-0.5 А, Pкоммут. не более 10 Вт. IP 68 , металлорукав из нержавеющей стали 1000 мм. Покрытие корпусов вандалоустойчивыми красками: Антик, Антик серебрян"&amp;"ый, порошковые - +150 руб., покрытие простыми красками - + 100руб.")</f>
        <v>Датчик металлический, на металл, Переключающий, раст. сраб. 24 мм , Uкомут. – 0,02-72 В, Iкоммут. -0.01-0.5 А, Pкоммут. не более 10 Вт. IP 68 , металлорукав из нержавеющей стали 1000 мм. Покрытие корпусов вандалоустойчивыми красками: Антик, Антик серебряный, порошковые - +150 руб., покрытие простыми красками - + 100руб.</v>
      </c>
      <c r="C1099" s="14">
        <f ca="1">IFERROR(__xludf.DUMMYFUNCTION("""COMPUTED_VALUE"""),3966.6)</f>
        <v>3966.6</v>
      </c>
      <c r="D1099" s="13"/>
    </row>
    <row r="1100" spans="1:4" ht="63.75">
      <c r="A1100" s="12" t="str">
        <f ca="1">IFERROR(__xludf.DUMMYFUNCTION("""COMPUTED_VALUE"""),"ДПМ-2-исп.200 ПАШК.425119.067")</f>
        <v>ДПМ-2-исп.200 ПАШК.425119.067</v>
      </c>
      <c r="B1100" s="13" t="str">
        <f ca="1">IFERROR(__xludf.DUMMYFUNCTION("""COMPUTED_VALUE"""),"Датчик металлический, на металл, НР, раст. сраб. 55 мм , Uкомут. – 0,02-72 В, Iкоммут. -0.01-0.5 А, Pкоммут. не более 10 Вт,IP 68 , провод 1000 мм, двойная изоляция. ")</f>
        <v xml:space="preserve">Датчик металлический, на металл, НР, раст. сраб. 55 мм , Uкомут. – 0,02-72 В, Iкоммут. -0.01-0.5 А, Pкоммут. не более 10 Вт,IP 68 , провод 1000 мм, двойная изоляция. </v>
      </c>
      <c r="C1100" s="14">
        <f ca="1">IFERROR(__xludf.DUMMYFUNCTION("""COMPUTED_VALUE"""),9018.419025)</f>
        <v>9018.4190249999992</v>
      </c>
      <c r="D1100" s="13"/>
    </row>
    <row r="1101" spans="1:4" ht="63.75">
      <c r="A1101" s="12" t="str">
        <f ca="1">IFERROR(__xludf.DUMMYFUNCTION("""COMPUTED_VALUE"""),"ДПМ-2-исп.202 ПАШК.425119.067")</f>
        <v>ДПМ-2-исп.202 ПАШК.425119.067</v>
      </c>
      <c r="B1101" s="13" t="str">
        <f ca="1">IFERROR(__xludf.DUMMYFUNCTION("""COMPUTED_VALUE"""),"Датчик металлический,на металл, Переключающий, раст. сраб. 35 мм , Uкомут. – 0,02-72 В, Iкоммут. -0.01-0.5 А, Pкоммут. не более 10 Вт. IP 68 , провод 1000 мм, двойная изоляция. ")</f>
        <v xml:space="preserve">Датчик металлический,на металл, Переключающий, раст. сраб. 35 мм , Uкомут. – 0,02-72 В, Iкоммут. -0.01-0.5 А, Pкоммут. не более 10 Вт. IP 68 , провод 1000 мм, двойная изоляция. </v>
      </c>
      <c r="C1101" s="14">
        <f ca="1">IFERROR(__xludf.DUMMYFUNCTION("""COMPUTED_VALUE"""),9209.1678)</f>
        <v>9209.1677999999993</v>
      </c>
      <c r="D1101" s="13"/>
    </row>
    <row r="1102" spans="1:4" ht="63.75">
      <c r="A1102" s="12" t="str">
        <f ca="1">IFERROR(__xludf.DUMMYFUNCTION("""COMPUTED_VALUE"""),"ДПМ-2-исп.204 ПАШК.425119.067")</f>
        <v>ДПМ-2-исп.204 ПАШК.425119.067</v>
      </c>
      <c r="B1102" s="13" t="str">
        <f ca="1">IFERROR(__xludf.DUMMYFUNCTION("""COMPUTED_VALUE"""),"Датчик металлический,на металл, НР, раст. сраб. 55 мм , Uкомут. – 0,02-72 В, Iкоммут. -0.01-0.5 А, Pкоммут. не более 10 Вт,IP 68 , металлорукав из нержавеющей стали 1000 мм.")</f>
        <v>Датчик металлический,на металл, НР, раст. сраб. 55 мм , Uкомут. – 0,02-72 В, Iкоммут. -0.01-0.5 А, Pкоммут. не более 10 Вт,IP 68 , металлорукав из нержавеющей стали 1000 мм.</v>
      </c>
      <c r="C1102" s="14">
        <f ca="1">IFERROR(__xludf.DUMMYFUNCTION("""COMPUTED_VALUE"""),9235)</f>
        <v>9235</v>
      </c>
      <c r="D1102" s="13"/>
    </row>
    <row r="1103" spans="1:4" ht="76.5">
      <c r="A1103" s="12" t="str">
        <f ca="1">IFERROR(__xludf.DUMMYFUNCTION("""COMPUTED_VALUE"""),"ДПМ-2-исп.205 ПАШК.425119.067")</f>
        <v>ДПМ-2-исп.205 ПАШК.425119.067</v>
      </c>
      <c r="B1103" s="13" t="str">
        <f ca="1">IFERROR(__xludf.DUMMYFUNCTION("""COMPUTED_VALUE"""),"Датчик металлический,на металл, Переключающий, раст. сраб. 35 мм , Uкомут. – 0,02-72 В, Iкоммут. -0.01-0.5 А, Pкоммут. не более 10 Вт. IP 68 , металлорукав из нержавеющей стали 1000 мм. ")</f>
        <v xml:space="preserve">Датчик металлический,на металл, Переключающий, раст. сраб. 35 мм , Uкомут. – 0,02-72 В, Iкоммут. -0.01-0.5 А, Pкоммут. не более 10 Вт. IP 68 , металлорукав из нержавеющей стали 1000 мм. </v>
      </c>
      <c r="C1103" s="14">
        <f ca="1">IFERROR(__xludf.DUMMYFUNCTION("""COMPUTED_VALUE"""),9430)</f>
        <v>9430</v>
      </c>
      <c r="D1103" s="13"/>
    </row>
    <row r="1104" spans="1:4" ht="127.5">
      <c r="A1104" s="12" t="str">
        <f ca="1">IFERROR(__xludf.DUMMYFUNCTION("""COMPUTED_VALUE"""),"Кронштейн К-ДПМ-2 АЯКС (для монтажа датчиков ДПМ-2 исп. 00, 01, 02, 03, 04, 05, 06, 07)")</f>
        <v>Кронштейн К-ДПМ-2 АЯКС (для монтажа датчиков ДПМ-2 исп. 00, 01, 02, 03, 04, 05, 06, 07)</v>
      </c>
      <c r="B1104" s="13" t="str">
        <f ca="1">IFERROR(__xludf.DUMMYFUNCTION("""COMPUTED_VALUE"""),"для изменения положения при монтаже блока магнита или блока датчика магнитоконтактных датчиков ДПМ-2 (исп. 00, 01, 02, 03, 04, 05, 06, 07) к поверхностям охраняемых конструкций. Кронштейн позволяет изменить положение одного из блоков на 90 град, что обесп"&amp;"ечивает правильное совмещение блока магнита и датчика и исключает нестабильную работу датчика.")</f>
        <v>для изменения положения при монтаже блока магнита или блока датчика магнитоконтактных датчиков ДПМ-2 (исп. 00, 01, 02, 03, 04, 05, 06, 07) к поверхностям охраняемых конструкций. Кронштейн позволяет изменить положение одного из блоков на 90 град, что обеспечивает правильное совмещение блока магнита и датчика и исключает нестабильную работу датчика.</v>
      </c>
      <c r="C1104" s="14">
        <f ca="1">IFERROR(__xludf.DUMMYFUNCTION("""COMPUTED_VALUE"""),495.6)</f>
        <v>495.6</v>
      </c>
      <c r="D1104" s="13"/>
    </row>
    <row r="1105" spans="1:4" ht="63.75">
      <c r="A1105" s="12" t="str">
        <f ca="1">IFERROR(__xludf.DUMMYFUNCTION("""COMPUTED_VALUE"""),"КР-ДПМ-2 Нержавейка")</f>
        <v>КР-ДПМ-2 Нержавейка</v>
      </c>
      <c r="B1105" s="13" t="str">
        <f ca="1">IFERROR(__xludf.DUMMYFUNCTION("""COMPUTED_VALUE"""),"Преимуществом резьбового кронштейна над обычным, является то, что в крепежном отверстии уже имеется резьба для прижимного винта (гайка не требуется)")</f>
        <v>Преимуществом резьбового кронштейна над обычным, является то, что в крепежном отверстии уже имеется резьба для прижимного винта (гайка не требуется)</v>
      </c>
      <c r="C1105" s="14">
        <f ca="1">IFERROR(__xludf.DUMMYFUNCTION("""COMPUTED_VALUE"""),650)</f>
        <v>650</v>
      </c>
      <c r="D1105" s="13"/>
    </row>
    <row r="1106" spans="1:4" ht="38.25">
      <c r="A1106" s="12" t="str">
        <f ca="1">IFERROR(__xludf.DUMMYFUNCTION("""COMPUTED_VALUE"""),"ДПМ-3 исп.00 ПАШК.425119.021")</f>
        <v>ДПМ-3 исп.00 ПАШК.425119.021</v>
      </c>
      <c r="B1106" s="13" t="str">
        <f ca="1">IFERROR(__xludf.DUMMYFUNCTION("""COMPUTED_VALUE"""),"Накладной на металл НР, провод350 мм, двойная изоляция, расстояние удержания 40 мм,")</f>
        <v>Накладной на металл НР, провод350 мм, двойная изоляция, расстояние удержания 40 мм,</v>
      </c>
      <c r="C1106" s="14">
        <f ca="1">IFERROR(__xludf.DUMMYFUNCTION("""COMPUTED_VALUE"""),459.65535)</f>
        <v>459.65535</v>
      </c>
      <c r="D1106" s="13"/>
    </row>
    <row r="1107" spans="1:4" ht="12.75">
      <c r="A1107" s="12" t="str">
        <f ca="1">IFERROR(__xludf.DUMMYFUNCTION("""COMPUTED_VALUE"""),"ДПМ-3 исп.01 ПАШК.425119.021")</f>
        <v>ДПМ-3 исп.01 ПАШК.425119.021</v>
      </c>
      <c r="B1107" s="13" t="str">
        <f ca="1">IFERROR(__xludf.DUMMYFUNCTION("""COMPUTED_VALUE"""),"Датчик на металл НР, внутренний разъём")</f>
        <v>Датчик на металл НР, внутренний разъём</v>
      </c>
      <c r="C1107" s="14">
        <f ca="1">IFERROR(__xludf.DUMMYFUNCTION("""COMPUTED_VALUE"""),442.93095)</f>
        <v>442.93095</v>
      </c>
      <c r="D1107" s="13"/>
    </row>
    <row r="1108" spans="1:4" ht="25.5">
      <c r="A1108" s="12" t="str">
        <f ca="1">IFERROR(__xludf.DUMMYFUNCTION("""COMPUTED_VALUE"""),"ДПМ-3 исп.02 ПАШК.425119.021")</f>
        <v>ДПМ-3 исп.02 ПАШК.425119.021</v>
      </c>
      <c r="B1108" s="13" t="str">
        <f ca="1">IFERROR(__xludf.DUMMYFUNCTION("""COMPUTED_VALUE"""),"Датчик на металл перекл., , провод 350 мм. Двойн. изоляция")</f>
        <v>Датчик на металл перекл., , провод 350 мм. Двойн. изоляция</v>
      </c>
      <c r="C1108" s="14">
        <f ca="1">IFERROR(__xludf.DUMMYFUNCTION("""COMPUTED_VALUE"""),787.2249)</f>
        <v>787.22490000000005</v>
      </c>
      <c r="D1108" s="13"/>
    </row>
    <row r="1109" spans="1:4" ht="25.5">
      <c r="A1109" s="12" t="str">
        <f ca="1">IFERROR(__xludf.DUMMYFUNCTION("""COMPUTED_VALUE"""),"ДПМ-3 исп.03 ПАШК.425119.021")</f>
        <v>ДПМ-3 исп.03 ПАШК.425119.021</v>
      </c>
      <c r="B1109" s="13" t="str">
        <f ca="1">IFERROR(__xludf.DUMMYFUNCTION("""COMPUTED_VALUE"""),"Датчик на металл переключающий , внутренний разъём")</f>
        <v>Датчик на металл переключающий , внутренний разъём</v>
      </c>
      <c r="C1109" s="14">
        <f ca="1">IFERROR(__xludf.DUMMYFUNCTION("""COMPUTED_VALUE"""),767.78625)</f>
        <v>767.78625</v>
      </c>
      <c r="D1109" s="13"/>
    </row>
    <row r="1110" spans="1:4" ht="25.5">
      <c r="A1110" s="12" t="str">
        <f ca="1">IFERROR(__xludf.DUMMYFUNCTION("""COMPUTED_VALUE"""),"ДПМ-3 исп.04 металлорукав из оцинкованной стали ПАШК.425119.021")</f>
        <v>ДПМ-3 исп.04 металлорукав из оцинкованной стали ПАШК.425119.021</v>
      </c>
      <c r="B1110" s="13" t="str">
        <f ca="1">IFERROR(__xludf.DUMMYFUNCTION("""COMPUTED_VALUE"""),"Датчик на металл НР(норм. разомкн.) оцинкованный металлорукав 700мм.")</f>
        <v>Датчик на металл НР(норм. разомкн.) оцинкованный металлорукав 700мм.</v>
      </c>
      <c r="C1110" s="14">
        <f ca="1">IFERROR(__xludf.DUMMYFUNCTION("""COMPUTED_VALUE"""),496.7193)</f>
        <v>496.71929999999998</v>
      </c>
      <c r="D1110" s="13"/>
    </row>
    <row r="1111" spans="1:4" ht="38.25">
      <c r="A1111" s="12" t="str">
        <f ca="1">IFERROR(__xludf.DUMMYFUNCTION("""COMPUTED_VALUE"""),"ДПМ-3 исп.04 металлорукав из нержавеющей стали ПАШК.425119.021")</f>
        <v>ДПМ-3 исп.04 металлорукав из нержавеющей стали ПАШК.425119.021</v>
      </c>
      <c r="B1111" s="13" t="str">
        <f ca="1">IFERROR(__xludf.DUMMYFUNCTION("""COMPUTED_VALUE"""),"Датчик на металл НР(норм. разомкн.)металлорукав из нержавеющей стали 700мм.")</f>
        <v>Датчик на металл НР(норм. разомкн.)металлорукав из нержавеющей стали 700мм.</v>
      </c>
      <c r="C1111" s="14">
        <f ca="1">IFERROR(__xludf.DUMMYFUNCTION("""COMPUTED_VALUE"""),972.0018)</f>
        <v>972.0018</v>
      </c>
      <c r="D1111" s="13"/>
    </row>
    <row r="1112" spans="1:4" ht="25.5">
      <c r="A1112" s="12" t="str">
        <f ca="1">IFERROR(__xludf.DUMMYFUNCTION("""COMPUTED_VALUE"""),"ДПМ-3 исп.05 металлорукав из оцинкованной стали ПАШК.425119.021")</f>
        <v>ДПМ-3 исп.05 металлорукав из оцинкованной стали ПАШК.425119.021</v>
      </c>
      <c r="B1112" s="13" t="str">
        <f ca="1">IFERROR(__xludf.DUMMYFUNCTION("""COMPUTED_VALUE"""),"Датчик на металл переключающий оцинкованный металлорукав 700мм.")</f>
        <v>Датчик на металл переключающий оцинкованный металлорукав 700мм.</v>
      </c>
      <c r="C1112" s="14">
        <f ca="1">IFERROR(__xludf.DUMMYFUNCTION("""COMPUTED_VALUE"""),868.43295)</f>
        <v>868.43295000000001</v>
      </c>
      <c r="D1112" s="13"/>
    </row>
    <row r="1113" spans="1:4" ht="38.25">
      <c r="A1113" s="12" t="str">
        <f ca="1">IFERROR(__xludf.DUMMYFUNCTION("""COMPUTED_VALUE"""),"ДПМ-3 исп.05 металлорукав из нержавеющей стали ПАШК.425119.021")</f>
        <v>ДПМ-3 исп.05 металлорукав из нержавеющей стали ПАШК.425119.021</v>
      </c>
      <c r="B1113" s="13" t="str">
        <f ca="1">IFERROR(__xludf.DUMMYFUNCTION("""COMPUTED_VALUE"""),"Датчик на металл переключающий металлорукав из нержавеющей стали 700мм.")</f>
        <v>Датчик на металл переключающий металлорукав из нержавеющей стали 700мм.</v>
      </c>
      <c r="C1113" s="14">
        <f ca="1">IFERROR(__xludf.DUMMYFUNCTION("""COMPUTED_VALUE"""),1352.6205)</f>
        <v>1352.6205</v>
      </c>
      <c r="D1113" s="13"/>
    </row>
    <row r="1114" spans="1:4" ht="25.5">
      <c r="A1114" s="12" t="str">
        <f ca="1">IFERROR(__xludf.DUMMYFUNCTION("""COMPUTED_VALUE"""),"ДПМ-3 исп. 06 металлорукав из оцинкованной стали ПАШК.425119.021")</f>
        <v>ДПМ-3 исп. 06 металлорукав из оцинкованной стали ПАШК.425119.021</v>
      </c>
      <c r="B1114" s="13" t="str">
        <f ca="1">IFERROR(__xludf.DUMMYFUNCTION("""COMPUTED_VALUE"""),"Датчик напольный накладной на метал. Поверхностный, НР")</f>
        <v>Датчик напольный накладной на метал. Поверхностный, НР</v>
      </c>
      <c r="C1114" s="14">
        <f ca="1">IFERROR(__xludf.DUMMYFUNCTION("""COMPUTED_VALUE"""),428.043)</f>
        <v>428.04300000000001</v>
      </c>
      <c r="D1114" s="13"/>
    </row>
    <row r="1115" spans="1:4" ht="25.5">
      <c r="A1115" s="12" t="str">
        <f ca="1">IFERROR(__xludf.DUMMYFUNCTION("""COMPUTED_VALUE"""),"ДПМ-3 исп. 06 металлорукав из нержавеющей стали ПАШК.425119.021")</f>
        <v>ДПМ-3 исп. 06 металлорукав из нержавеющей стали ПАШК.425119.021</v>
      </c>
      <c r="B1115" s="13" t="str">
        <f ca="1">IFERROR(__xludf.DUMMYFUNCTION("""COMPUTED_VALUE"""),"Датчик напольный накладной на метал. Поверхностный, НР")</f>
        <v>Датчик напольный накладной на метал. Поверхностный, НР</v>
      </c>
      <c r="C1115" s="14">
        <f ca="1">IFERROR(__xludf.DUMMYFUNCTION("""COMPUTED_VALUE"""),903.49875)</f>
        <v>903.49874999999997</v>
      </c>
      <c r="D1115" s="13"/>
    </row>
    <row r="1116" spans="1:4" ht="25.5">
      <c r="A1116" s="12" t="str">
        <f ca="1">IFERROR(__xludf.DUMMYFUNCTION("""COMPUTED_VALUE"""),"ДПМ-3 исп. 07 металлорукав из оцинкованной стали ПАШК.425119.021")</f>
        <v>ДПМ-3 исп. 07 металлорукав из оцинкованной стали ПАШК.425119.021</v>
      </c>
      <c r="B1116" s="13" t="str">
        <f ca="1">IFERROR(__xludf.DUMMYFUNCTION("""COMPUTED_VALUE"""),"Напольный накладной на метал. поверхностный, перекл.")</f>
        <v>Напольный накладной на метал. поверхностный, перекл.</v>
      </c>
      <c r="C1116" s="14">
        <f ca="1">IFERROR(__xludf.DUMMYFUNCTION("""COMPUTED_VALUE"""),824.1156)</f>
        <v>824.11559999999997</v>
      </c>
      <c r="D1116" s="13"/>
    </row>
    <row r="1117" spans="1:4" ht="25.5">
      <c r="A1117" s="12" t="str">
        <f ca="1">IFERROR(__xludf.DUMMYFUNCTION("""COMPUTED_VALUE"""),"ДПМ-3 исп. 07 металлорукав из нержавеющей стали ПАШК.425119.021")</f>
        <v>ДПМ-3 исп. 07 металлорукав из нержавеющей стали ПАШК.425119.021</v>
      </c>
      <c r="B1117" s="13" t="str">
        <f ca="1">IFERROR(__xludf.DUMMYFUNCTION("""COMPUTED_VALUE"""),"Напольный накладной на метал. поверхностный, перекл.")</f>
        <v>Напольный накладной на метал. поверхностный, перекл.</v>
      </c>
      <c r="C1117" s="14">
        <f ca="1">IFERROR(__xludf.DUMMYFUNCTION("""COMPUTED_VALUE"""),1308.64965)</f>
        <v>1308.6496500000001</v>
      </c>
      <c r="D1117" s="13"/>
    </row>
    <row r="1118" spans="1:4" ht="38.25">
      <c r="A1118" s="12" t="str">
        <f ca="1">IFERROR(__xludf.DUMMYFUNCTION("""COMPUTED_VALUE"""),"ПБМ АТФЕ.425119.070")</f>
        <v>ПБМ АТФЕ.425119.070</v>
      </c>
      <c r="B1118" s="13" t="str">
        <f ca="1">IFERROR(__xludf.DUMMYFUNCTION("""COMPUTED_VALUE"""),"Переключатель бесшумный магнито-контактный, ручной. Габаритные размеры: 53х17х8 мм")</f>
        <v>Переключатель бесшумный магнито-контактный, ручной. Габаритные размеры: 53х17х8 мм</v>
      </c>
      <c r="C1118" s="14">
        <f ca="1">IFERROR(__xludf.DUMMYFUNCTION("""COMPUTED_VALUE"""),1141.998)</f>
        <v>1141.998</v>
      </c>
      <c r="D1118" s="13"/>
    </row>
    <row r="1119" spans="1:4" ht="38.25">
      <c r="A1119" s="12" t="str">
        <f ca="1">IFERROR(__xludf.DUMMYFUNCTION("""COMPUTED_VALUE"""),"ИО 101-5/1 Черепаха-1 ПАШК.425119.003")</f>
        <v>ИО 101-5/1 Черепаха-1 ПАШК.425119.003</v>
      </c>
      <c r="B1119" s="13" t="str">
        <f ca="1">IFERROR(__xludf.DUMMYFUNCTION("""COMPUTED_VALUE"""),"Педаль метал. БЕСШУМНАЯ с памятью и световой индикацией. Извещатель охранный. Ручной-ножной.")</f>
        <v>Педаль метал. БЕСШУМНАЯ с памятью и световой индикацией. Извещатель охранный. Ручной-ножной.</v>
      </c>
      <c r="C1119" s="14">
        <f ca="1">IFERROR(__xludf.DUMMYFUNCTION("""COMPUTED_VALUE"""),8676.75)</f>
        <v>8676.75</v>
      </c>
      <c r="D1119" s="13"/>
    </row>
    <row r="1120" spans="1:4" ht="51">
      <c r="A1120" s="12" t="str">
        <f ca="1">IFERROR(__xludf.DUMMYFUNCTION("""COMPUTED_VALUE"""),"ИО 101-5/1М Черепаха-1М ПАШК.425119.043")</f>
        <v>ИО 101-5/1М Черепаха-1М ПАШК.425119.043</v>
      </c>
      <c r="B1120" s="13" t="str">
        <f ca="1">IFERROR(__xludf.DUMMYFUNCTION("""COMPUTED_VALUE"""),"Педаль метал. МИНИАТЮРНАЯ БЕСШУМНАЯ с памятью и световой индикацией. Извещатель охранный. Ручной-ножной.")</f>
        <v>Педаль метал. МИНИАТЮРНАЯ БЕСШУМНАЯ с памятью и световой индикацией. Извещатель охранный. Ручной-ножной.</v>
      </c>
      <c r="C1120" s="14">
        <f ca="1">IFERROR(__xludf.DUMMYFUNCTION("""COMPUTED_VALUE"""),5560.25)</f>
        <v>5560.25</v>
      </c>
      <c r="D1120" s="13"/>
    </row>
    <row r="1121" spans="1:4" ht="38.25">
      <c r="A1121" s="12" t="str">
        <f ca="1">IFERROR(__xludf.DUMMYFUNCTION("""COMPUTED_VALUE"""),"ИО 101-5/2 Черепаха-2 ПАШК.425119.043")</f>
        <v>ИО 101-5/2 Черепаха-2 ПАШК.425119.043</v>
      </c>
      <c r="B1121" s="13" t="str">
        <f ca="1">IFERROR(__xludf.DUMMYFUNCTION("""COMPUTED_VALUE"""),"Педаль метал. АНТИВАНДАЛЬНАЯ с памятью и световой индикацией. Извещатель охранный. Ручной-ножной.")</f>
        <v>Педаль метал. АНТИВАНДАЛЬНАЯ с памятью и световой индикацией. Извещатель охранный. Ручной-ножной.</v>
      </c>
      <c r="C1121" s="14">
        <f ca="1">IFERROR(__xludf.DUMMYFUNCTION("""COMPUTED_VALUE"""),12247.5023)</f>
        <v>12247.5023</v>
      </c>
      <c r="D1121" s="13"/>
    </row>
    <row r="1122" spans="1:4" ht="51">
      <c r="A1122" s="12" t="str">
        <f ca="1">IFERROR(__xludf.DUMMYFUNCTION("""COMPUTED_VALUE"""),"ИО 101-5/2С Черепаха-2С ПАШК.425119.043")</f>
        <v>ИО 101-5/2С Черепаха-2С ПАШК.425119.043</v>
      </c>
      <c r="B1122" s="13" t="str">
        <f ca="1">IFERROR(__xludf.DUMMYFUNCTION("""COMPUTED_VALUE"""),"Педаль метал. АНТИВАНДАЛЬНАЯ. Извещатель охранный . Ручной-ножной. Мах напр. не более 24В, Мах ток не более 1А.")</f>
        <v>Педаль метал. АНТИВАНДАЛЬНАЯ. Извещатель охранный . Ручной-ножной. Мах напр. не более 24В, Мах ток не более 1А.</v>
      </c>
      <c r="C1122" s="14">
        <f ca="1">IFERROR(__xludf.DUMMYFUNCTION("""COMPUTED_VALUE"""),12759.25)</f>
        <v>12759.25</v>
      </c>
      <c r="D1122" s="13"/>
    </row>
    <row r="1123" spans="1:4" ht="25.5">
      <c r="A1123" s="12" t="str">
        <f ca="1">IFERROR(__xludf.DUMMYFUNCTION("""COMPUTED_VALUE"""),"Педаль ФС-1 ПАШК.425119.044")</f>
        <v>Педаль ФС-1 ПАШК.425119.044</v>
      </c>
      <c r="B1123" s="13" t="str">
        <f ca="1">IFERROR(__xludf.DUMMYFUNCTION("""COMPUTED_VALUE"""),"Металическая педаль без фиксации с герконом .20мВ-72В, 1мА-0.5А.")</f>
        <v>Металическая педаль без фиксации с герконом .20мВ-72В, 1мА-0.5А.</v>
      </c>
      <c r="C1123" s="14">
        <f ca="1">IFERROR(__xludf.DUMMYFUNCTION("""COMPUTED_VALUE"""),6787.3)</f>
        <v>6787.3</v>
      </c>
      <c r="D1123" s="13"/>
    </row>
    <row r="1124" spans="1:4" ht="25.5">
      <c r="A1124" s="12" t="str">
        <f ca="1">IFERROR(__xludf.DUMMYFUNCTION("""COMPUTED_VALUE"""),"Педаль ФС-1-5 ПАШК.425119.044")</f>
        <v>Педаль ФС-1-5 ПАШК.425119.044</v>
      </c>
      <c r="B1124" s="13" t="str">
        <f ca="1">IFERROR(__xludf.DUMMYFUNCTION("""COMPUTED_VALUE"""),"Металлическая педаль без фиксации мех. контакт,Мах U -250В, Мах I- 5 А")</f>
        <v>Металлическая педаль без фиксации мех. контакт,Мах U -250В, Мах I- 5 А</v>
      </c>
      <c r="C1124" s="14">
        <f ca="1">IFERROR(__xludf.DUMMYFUNCTION("""COMPUTED_VALUE"""),6787.3)</f>
        <v>6787.3</v>
      </c>
      <c r="D1124" s="13"/>
    </row>
    <row r="1125" spans="1:4" ht="25.5">
      <c r="A1125" s="12" t="str">
        <f ca="1">IFERROR(__xludf.DUMMYFUNCTION("""COMPUTED_VALUE"""),"Педаль ФС-1М ПАШК.425119.044")</f>
        <v>Педаль ФС-1М ПАШК.425119.044</v>
      </c>
      <c r="B1125" s="13" t="str">
        <f ca="1">IFERROR(__xludf.DUMMYFUNCTION("""COMPUTED_VALUE"""),"Миниатюрная металл. педаль без фиксации.U 20мВ-72В, I 1мА- 0.5А.")</f>
        <v>Миниатюрная металл. педаль без фиксации.U 20мВ-72В, I 1мА- 0.5А.</v>
      </c>
      <c r="C1125" s="14">
        <f ca="1">IFERROR(__xludf.DUMMYFUNCTION("""COMPUTED_VALUE"""),5444.21845)</f>
        <v>5444.2184500000003</v>
      </c>
      <c r="D1125" s="13"/>
    </row>
    <row r="1126" spans="1:4" ht="25.5">
      <c r="A1126" s="12" t="str">
        <f ca="1">IFERROR(__xludf.DUMMYFUNCTION("""COMPUTED_VALUE"""),"Педаль ФС-2 ПАШК.425119.044")</f>
        <v>Педаль ФС-2 ПАШК.425119.044</v>
      </c>
      <c r="B1126" s="13" t="str">
        <f ca="1">IFERROR(__xludf.DUMMYFUNCTION("""COMPUTED_VALUE"""),"Металлическая педаль без фиксации с герконом.U 20мВ- 72В, I 1мА -0.5А.")</f>
        <v>Металлическая педаль без фиксации с герконом.U 20мВ- 72В, I 1мА -0.5А.</v>
      </c>
      <c r="C1126" s="14">
        <f ca="1">IFERROR(__xludf.DUMMYFUNCTION("""COMPUTED_VALUE"""),6787.3)</f>
        <v>6787.3</v>
      </c>
      <c r="D1126" s="13"/>
    </row>
    <row r="1127" spans="1:4" ht="25.5">
      <c r="A1127" s="12" t="str">
        <f ca="1">IFERROR(__xludf.DUMMYFUNCTION("""COMPUTED_VALUE"""),"Педаль ФС-2-15 ПАШК.425119.044")</f>
        <v>Педаль ФС-2-15 ПАШК.425119.044</v>
      </c>
      <c r="B1127" s="13" t="str">
        <f ca="1">IFERROR(__xludf.DUMMYFUNCTION("""COMPUTED_VALUE"""),"Металлическая педаль без фиксации мех. контакт. Мах U -250В. Мах I -15А")</f>
        <v>Металлическая педаль без фиксации мех. контакт. Мах U -250В. Мах I -15А</v>
      </c>
      <c r="C1127" s="14">
        <f ca="1">IFERROR(__xludf.DUMMYFUNCTION("""COMPUTED_VALUE"""),6787.3)</f>
        <v>6787.3</v>
      </c>
      <c r="D1127" s="13"/>
    </row>
    <row r="1128" spans="1:4" ht="25.5">
      <c r="A1128" s="12" t="str">
        <f ca="1">IFERROR(__xludf.DUMMYFUNCTION("""COMPUTED_VALUE"""),"Сторож ПАШК.425723.002")</f>
        <v>Сторож ПАШК.425723.002</v>
      </c>
      <c r="B1128" s="13" t="str">
        <f ca="1">IFERROR(__xludf.DUMMYFUNCTION("""COMPUTED_VALUE"""),"Сигнализатор автономный тревожный охранный")</f>
        <v>Сигнализатор автономный тревожный охранный</v>
      </c>
      <c r="C1128" s="14">
        <f ca="1">IFERROR(__xludf.DUMMYFUNCTION("""COMPUTED_VALUE"""),1974.269)</f>
        <v>1974.269</v>
      </c>
      <c r="D1128" s="13"/>
    </row>
    <row r="1129" spans="1:4" ht="25.5">
      <c r="A1129" s="12" t="str">
        <f ca="1">IFERROR(__xludf.DUMMYFUNCTION("""COMPUTED_VALUE"""),"ВЗГ 290/45.500 ПАШК.425119.065 ТУ")</f>
        <v>ВЗГ 290/45.500 ПАШК.425119.065 ТУ</v>
      </c>
      <c r="B1129" s="13" t="str">
        <f ca="1">IFERROR(__xludf.DUMMYFUNCTION("""COMPUTED_VALUE"""),"Высокотемпературный замыкающий герконовый датчик, до 290°С")</f>
        <v>Высокотемпературный замыкающий герконовый датчик, до 290°С</v>
      </c>
      <c r="C1129" s="14" t="str">
        <f ca="1">IFERROR(__xludf.DUMMYFUNCTION("""COMPUTED_VALUE"""),"по запросу")</f>
        <v>по запросу</v>
      </c>
      <c r="D1129" s="13"/>
    </row>
    <row r="1130" spans="1:4" ht="25.5">
      <c r="A1130" s="12" t="str">
        <f ca="1">IFERROR(__xludf.DUMMYFUNCTION("""COMPUTED_VALUE"""),"ВЗГ 350/45.500 ПАШК.425119.026 ТУ")</f>
        <v>ВЗГ 350/45.500 ПАШК.425119.026 ТУ</v>
      </c>
      <c r="B1130" s="13" t="str">
        <f ca="1">IFERROR(__xludf.DUMMYFUNCTION("""COMPUTED_VALUE"""),"Высокотемпературный замыкающий герконовый датчик, до 350°С")</f>
        <v>Высокотемпературный замыкающий герконовый датчик, до 350°С</v>
      </c>
      <c r="C1130" s="14" t="str">
        <f ca="1">IFERROR(__xludf.DUMMYFUNCTION("""COMPUTED_VALUE"""),"по запросу")</f>
        <v>по запросу</v>
      </c>
      <c r="D1130" s="13"/>
    </row>
    <row r="1131" spans="1:4" ht="25.5">
      <c r="A1131" s="12" t="str">
        <f ca="1">IFERROR(__xludf.DUMMYFUNCTION("""COMPUTED_VALUE"""),"ВЗГ-1")</f>
        <v>ВЗГ-1</v>
      </c>
      <c r="B1131" s="13" t="str">
        <f ca="1">IFERROR(__xludf.DUMMYFUNCTION("""COMPUTED_VALUE"""),"Высокотемпературный замыкающий герконовый датчик, до 150°С")</f>
        <v>Высокотемпературный замыкающий герконовый датчик, до 150°С</v>
      </c>
      <c r="C1131" s="14" t="str">
        <f ca="1">IFERROR(__xludf.DUMMYFUNCTION("""COMPUTED_VALUE"""),"по запросу")</f>
        <v>по запросу</v>
      </c>
      <c r="D1131" s="13"/>
    </row>
    <row r="1132" spans="1:4" ht="25.5">
      <c r="A1132" s="12" t="str">
        <f ca="1">IFERROR(__xludf.DUMMYFUNCTION("""COMPUTED_VALUE"""),"ВПГ 300/63.500 ПАШК.425119.031 ТУ")</f>
        <v>ВПГ 300/63.500 ПАШК.425119.031 ТУ</v>
      </c>
      <c r="B1132" s="13" t="str">
        <f ca="1">IFERROR(__xludf.DUMMYFUNCTION("""COMPUTED_VALUE"""),"Высокотемпературный переключающий датчик, до 300°С")</f>
        <v>Высокотемпературный переключающий датчик, до 300°С</v>
      </c>
      <c r="C1132" s="14" t="str">
        <f ca="1">IFERROR(__xludf.DUMMYFUNCTION("""COMPUTED_VALUE"""),"по запросу")</f>
        <v>по запросу</v>
      </c>
      <c r="D1132" s="13"/>
    </row>
    <row r="1133" spans="1:4" ht="25.5">
      <c r="A1133" s="12" t="str">
        <f ca="1">IFERROR(__xludf.DUMMYFUNCTION("""COMPUTED_VALUE"""),"Коробка соединительная под ВПГ")</f>
        <v>Коробка соединительная под ВПГ</v>
      </c>
      <c r="B1133" s="13" t="str">
        <f ca="1">IFERROR(__xludf.DUMMYFUNCTION("""COMPUTED_VALUE"""),"Коробка соединительная под ВПГ")</f>
        <v>Коробка соединительная под ВПГ</v>
      </c>
      <c r="C1133" s="14" t="str">
        <f ca="1">IFERROR(__xludf.DUMMYFUNCTION("""COMPUTED_VALUE"""),"по запросу")</f>
        <v>по запросу</v>
      </c>
      <c r="D1133" s="13"/>
    </row>
    <row r="1134" spans="1:4" ht="38.25">
      <c r="A1134" s="12" t="str">
        <f ca="1">IFERROR(__xludf.DUMMYFUNCTION("""COMPUTED_VALUE"""),"ДУП ВПГ АТФЕ.425119.090")</f>
        <v>ДУП ВПГ АТФЕ.425119.090</v>
      </c>
      <c r="B1134" s="13" t="str">
        <f ca="1">IFERROR(__xludf.DUMMYFUNCTION("""COMPUTED_VALUE"""),"Геркон выносной переключающий. Вывод изготовлен из кабеля КСТПЭПнг-FRHF 4х0,5 длиной 3,5 метра.")</f>
        <v>Геркон выносной переключающий. Вывод изготовлен из кабеля КСТПЭПнг-FRHF 4х0,5 длиной 3,5 метра.</v>
      </c>
      <c r="C1134" s="14" t="str">
        <f ca="1">IFERROR(__xludf.DUMMYFUNCTION("""COMPUTED_VALUE"""),"по запросу")</f>
        <v>по запросу</v>
      </c>
      <c r="D1134" s="13"/>
    </row>
    <row r="1135" spans="1:4" ht="25.5">
      <c r="A1135" s="12" t="str">
        <f ca="1">IFERROR(__xludf.DUMMYFUNCTION("""COMPUTED_VALUE"""),"БКУ 290/45.500 ПАШК.425119.051 ТУ.")</f>
        <v>БКУ 290/45.500 ПАШК.425119.051 ТУ.</v>
      </c>
      <c r="B1135" s="13" t="str">
        <f ca="1">IFERROR(__xludf.DUMMYFUNCTION("""COMPUTED_VALUE"""),"Блок концевых указателей, БКУ 290/45.500")</f>
        <v>Блок концевых указателей, БКУ 290/45.500</v>
      </c>
      <c r="C1135" s="14" t="str">
        <f ca="1">IFERROR(__xludf.DUMMYFUNCTION("""COMPUTED_VALUE"""),"по запросу")</f>
        <v>по запросу</v>
      </c>
      <c r="D1135" s="13"/>
    </row>
    <row r="1136" spans="1:4" ht="102">
      <c r="A1136" s="12" t="str">
        <f ca="1">IFERROR(__xludf.DUMMYFUNCTION("""COMPUTED_VALUE"""),"ВБИПК (рабочая температура до 300 °С) ПАШК.425119.080")</f>
        <v>ВБИПК (рабочая температура до 300 °С) ПАШК.425119.080</v>
      </c>
      <c r="B1136" s="13" t="str">
        <f ca="1">IFERROR(__xludf.DUMMYFUNCTION("""COMPUTED_VALUE"""),"Выносной блок индикации положения клапана. предназначен для указания положения штока клапана путем выдачи дискретного информационного унифицированного сигнала уровня 4-20 мА. Конструктивно состоит из блока герконов (БГ) и блока преобразования сигналов (БП"&amp;"С)")</f>
        <v>Выносной блок индикации положения клапана. предназначен для указания положения штока клапана путем выдачи дискретного информационного унифицированного сигнала уровня 4-20 мА. Конструктивно состоит из блока герконов (БГ) и блока преобразования сигналов (БПС)</v>
      </c>
      <c r="C1136" s="14" t="str">
        <f ca="1">IFERROR(__xludf.DUMMYFUNCTION("""COMPUTED_VALUE"""),"по запросу")</f>
        <v>по запросу</v>
      </c>
      <c r="D1136" s="13"/>
    </row>
    <row r="1137" spans="1:4" ht="63.75">
      <c r="A1137" s="12" t="str">
        <f ca="1">IFERROR(__xludf.DUMMYFUNCTION("""COMPUTED_VALUE"""),"ИО 102-26/В исп.10 ""Аякс"" ОЕхiaIICT6 Ga Х IP66, РЗЦ ПАШК.425119.008")</f>
        <v>ИО 102-26/В исп.10 "Аякс" ОЕхiaIICT6 Ga Х IP66, РЗЦ ПАШК.425119.008</v>
      </c>
      <c r="B1137" s="13" t="str">
        <f ca="1">IFERROR(__xludf.DUMMYFUNCTION("""COMPUTED_VALUE"""),"Датчик на металл. взрывозащищенный. НР. оцинкованный металлорукав 750мм.* Производитель рекомендует использовать датчик вместе с коробкой соединительной УСБ-Ех ""Север""")</f>
        <v>Датчик на металл. взрывозащищенный. НР. оцинкованный металлорукав 750мм.* Производитель рекомендует использовать датчик вместе с коробкой соединительной УСБ-Ех "Север"</v>
      </c>
      <c r="C1137" s="14">
        <f ca="1">IFERROR(__xludf.DUMMYFUNCTION("""COMPUTED_VALUE"""),4878.72)</f>
        <v>4878.72</v>
      </c>
      <c r="D1137" s="13"/>
    </row>
    <row r="1138" spans="1:4" ht="63.75">
      <c r="A1138" s="12" t="str">
        <f ca="1">IFERROR(__xludf.DUMMYFUNCTION("""COMPUTED_VALUE"""),"ИО 102-26/В исп.10 ""Аякс"" ОЕхiaIICT6 Ga Х IP66, РЗН ПАШК.425119.008")</f>
        <v>ИО 102-26/В исп.10 "Аякс" ОЕхiaIICT6 Ga Х IP66, РЗН ПАШК.425119.008</v>
      </c>
      <c r="B1138" s="13" t="str">
        <f ca="1">IFERROR(__xludf.DUMMYFUNCTION("""COMPUTED_VALUE"""),"Датчик на металл. взрывозащищенный. НР. металлорукав из нержавеющей стали 750мм.* Производитель рекомендует использовать датчик вместе с коробкой соединительной УСБ-Ех ""Север""")</f>
        <v>Датчик на металл. взрывозащищенный. НР. металлорукав из нержавеющей стали 750мм.* Производитель рекомендует использовать датчик вместе с коробкой соединительной УСБ-Ех "Север"</v>
      </c>
      <c r="C1138" s="14">
        <f ca="1">IFERROR(__xludf.DUMMYFUNCTION("""COMPUTED_VALUE"""),5092.5)</f>
        <v>5092.5</v>
      </c>
      <c r="D1138" s="13"/>
    </row>
    <row r="1139" spans="1:4" ht="76.5">
      <c r="A1139" s="12" t="str">
        <f ca="1">IFERROR(__xludf.DUMMYFUNCTION("""COMPUTED_VALUE"""),"ИО 102-26/В исп.10 ""Аякс"" ОЕхiaIICT6 Ga Х IP66, Черный, РЗЦ ПАШК.425119.008")</f>
        <v>ИО 102-26/В исп.10 "Аякс" ОЕхiaIICT6 Ga Х IP66, Черный, РЗЦ ПАШК.425119.008</v>
      </c>
      <c r="B1139" s="13" t="str">
        <f ca="1">IFERROR(__xludf.DUMMYFUNCTION("""COMPUTED_VALUE"""),"Датчик на металл. взрывозащищенный. НР. из антистатичного пластика черного цвета, оцинкованный металлорукав 750мм.* Производитель рекомендует использовать датчик вместе с коробкой соединительной УСБ-Ех ""Север""")</f>
        <v>Датчик на металл. взрывозащищенный. НР. из антистатичного пластика черного цвета, оцинкованный металлорукав 750мм.* Производитель рекомендует использовать датчик вместе с коробкой соединительной УСБ-Ех "Север"</v>
      </c>
      <c r="C1139" s="14">
        <f ca="1">IFERROR(__xludf.DUMMYFUNCTION("""COMPUTED_VALUE"""),5355)</f>
        <v>5355</v>
      </c>
      <c r="D1139" s="13"/>
    </row>
    <row r="1140" spans="1:4" ht="89.25">
      <c r="A1140" s="12" t="str">
        <f ca="1">IFERROR(__xludf.DUMMYFUNCTION("""COMPUTED_VALUE"""),"ИО 102-26/В исп.10 ""Аякс"" ОЕхiaIICT6 Ga Х IP66, Черный, РЗН ПАШК.425119.008")</f>
        <v>ИО 102-26/В исп.10 "Аякс" ОЕхiaIICT6 Ga Х IP66, Черный, РЗН ПАШК.425119.008</v>
      </c>
      <c r="B1140" s="13" t="str">
        <f ca="1">IFERROR(__xludf.DUMMYFUNCTION("""COMPUTED_VALUE"""),"Датчик на металл. взрывозащищенный. НР.из антистатичного пластика черного цвета, металлорукав из нержавеющей стали 750мм.* Производитель рекомендует использовать датчик вместе с коробкой соединительной УСБ-Ех ""Север""")</f>
        <v>Датчик на металл. взрывозащищенный. НР.из антистатичного пластика черного цвета, металлорукав из нержавеющей стали 750мм.* Производитель рекомендует использовать датчик вместе с коробкой соединительной УСБ-Ех "Север"</v>
      </c>
      <c r="C1140" s="14">
        <f ca="1">IFERROR(__xludf.DUMMYFUNCTION("""COMPUTED_VALUE"""),5527.2)</f>
        <v>5527.2</v>
      </c>
      <c r="D1140" s="13"/>
    </row>
    <row r="1141" spans="1:4" ht="76.5">
      <c r="A1141" s="12" t="str">
        <f ca="1">IFERROR(__xludf.DUMMYFUNCTION("""COMPUTED_VALUE"""),"ИО 102-26/В исп.20 ""Аякс"" ОЕхiaIICT6 Ga Х IP66, РЗЦ ПАШК.425119.008")</f>
        <v>ИО 102-26/В исп.20 "Аякс" ОЕхiaIICT6 Ga Х IP66, РЗЦ ПАШК.425119.008</v>
      </c>
      <c r="B1141" s="13" t="str">
        <f ca="1">IFERROR(__xludf.DUMMYFUNCTION("""COMPUTED_VALUE"""),"Датчик на металл. взрывозащищенный. переключающий, оцинкованный металлорукав 750мм.*Производитель рекомендует использовать датчик вместе с коробкой соединительной УСБ-Ех ""Север""")</f>
        <v>Датчик на металл. взрывозащищенный. переключающий, оцинкованный металлорукав 750мм.*Производитель рекомендует использовать датчик вместе с коробкой соединительной УСБ-Ех "Север"</v>
      </c>
      <c r="C1141" s="14">
        <f ca="1">IFERROR(__xludf.DUMMYFUNCTION("""COMPUTED_VALUE"""),6486.0411)</f>
        <v>6486.0411000000004</v>
      </c>
      <c r="D1141" s="13"/>
    </row>
    <row r="1142" spans="1:4" ht="76.5">
      <c r="A1142" s="12" t="str">
        <f ca="1">IFERROR(__xludf.DUMMYFUNCTION("""COMPUTED_VALUE"""),"ИО 102-26/В исп.20 ""Аякс"" ОЕхiaIICT6 Ga Х IP66, РЗН ПАШК.425119.008")</f>
        <v>ИО 102-26/В исп.20 "Аякс" ОЕхiaIICT6 Ga Х IP66, РЗН ПАШК.425119.008</v>
      </c>
      <c r="B1142" s="13" t="str">
        <f ca="1">IFERROR(__xludf.DUMMYFUNCTION("""COMPUTED_VALUE"""),"Датчик на металл. взрывозащищенный. переключающий , металлорукав из нержавеющей стали 750мм.*Производитель рекомендует использовать датчик вместе с коробкой соединительной УСБ-Ех ""Север""")</f>
        <v>Датчик на металл. взрывозащищенный. переключающий , металлорукав из нержавеющей стали 750мм.*Производитель рекомендует использовать датчик вместе с коробкой соединительной УСБ-Ех "Север"</v>
      </c>
      <c r="C1142" s="14">
        <f ca="1">IFERROR(__xludf.DUMMYFUNCTION("""COMPUTED_VALUE"""),6751.5)</f>
        <v>6751.5</v>
      </c>
      <c r="D1142" s="13"/>
    </row>
    <row r="1143" spans="1:4" ht="89.25">
      <c r="A1143" s="12" t="str">
        <f ca="1">IFERROR(__xludf.DUMMYFUNCTION("""COMPUTED_VALUE"""),"ИО 102-26/В исп.20 ""Аякс"" ОЕхiaIICT6 Ga Х IP66, Черный, РЗЦ ПАШК.425119.008")</f>
        <v>ИО 102-26/В исп.20 "Аякс" ОЕхiaIICT6 Ga Х IP66, Черный, РЗЦ ПАШК.425119.008</v>
      </c>
      <c r="B1143" s="13" t="str">
        <f ca="1">IFERROR(__xludf.DUMMYFUNCTION("""COMPUTED_VALUE"""),"Датчик на металл. взрывозащищенный. переключающий, из антистатичного пластика черного цвета, оцинкованный металлорукав 750мм.*Производитель рекомендует использовать датчик вместе с коробкой соединительной УСБ-Ех ""Север""")</f>
        <v>Датчик на металл. взрывозащищенный. переключающий, из антистатичного пластика черного цвета, оцинкованный металлорукав 750мм.*Производитель рекомендует использовать датчик вместе с коробкой соединительной УСБ-Ех "Север"</v>
      </c>
      <c r="C1143" s="14">
        <f ca="1">IFERROR(__xludf.DUMMYFUNCTION("""COMPUTED_VALUE"""),7002.45)</f>
        <v>7002.45</v>
      </c>
      <c r="D1143" s="13"/>
    </row>
    <row r="1144" spans="1:4" ht="89.25">
      <c r="A1144" s="12" t="str">
        <f ca="1">IFERROR(__xludf.DUMMYFUNCTION("""COMPUTED_VALUE"""),"ИО 102-26/В исп.20 ""Аякс"" ОЕхiaIICT6 Ga Х IP66, Черный, РЗН ПАШК.425119.008")</f>
        <v>ИО 102-26/В исп.20 "Аякс" ОЕхiaIICT6 Ga Х IP66, Черный, РЗН ПАШК.425119.008</v>
      </c>
      <c r="B1144" s="13" t="str">
        <f ca="1">IFERROR(__xludf.DUMMYFUNCTION("""COMPUTED_VALUE"""),"Датчик на металл. взрывозащищенный. переключающий, из антистатичного пластика черного цвета, металлорукав из нержавеющей стали 750мм.*Производитель рекомендует использовать датчик вместе с коробкой соединительной УСБ-Ех ""Север""")</f>
        <v>Датчик на металл. взрывозащищенный. переключающий, из антистатичного пластика черного цвета, металлорукав из нержавеющей стали 750мм.*Производитель рекомендует использовать датчик вместе с коробкой соединительной УСБ-Ех "Север"</v>
      </c>
      <c r="C1144" s="14">
        <f ca="1">IFERROR(__xludf.DUMMYFUNCTION("""COMPUTED_VALUE"""),7483.35)</f>
        <v>7483.35</v>
      </c>
      <c r="D1144" s="13"/>
    </row>
    <row r="1145" spans="1:4" ht="76.5">
      <c r="A1145" s="12" t="str">
        <f ca="1">IFERROR(__xludf.DUMMYFUNCTION("""COMPUTED_VALUE"""),"ИО 102-26/В исп.30 ""Аякс"" ОЕхiaIICT6 Ga Х IP66 ПАШК.425119.008")</f>
        <v>ИО 102-26/В исп.30 "Аякс" ОЕхiaIICT6 Ga Х IP66 ПАШК.425119.008</v>
      </c>
      <c r="B1145" s="13" t="str">
        <f ca="1">IFERROR(__xludf.DUMMYFUNCTION("""COMPUTED_VALUE"""),"Датчик на металл, исп. ВЗРЫВОБЕЗОПАСНОЕ , НР, МГШВЭ 2х0,35, вывод 2,5м*. Производитель рекомендует использовать датчик вместе с коробкой соединительной УСБ-Ех ""Север""")</f>
        <v>Датчик на металл, исп. ВЗРЫВОБЕЗОПАСНОЕ , НР, МГШВЭ 2х0,35, вывод 2,5м*. Производитель рекомендует использовать датчик вместе с коробкой соединительной УСБ-Ех "Север"</v>
      </c>
      <c r="C1145" s="14">
        <f ca="1">IFERROR(__xludf.DUMMYFUNCTION("""COMPUTED_VALUE"""),6825)</f>
        <v>6825</v>
      </c>
      <c r="D1145" s="13"/>
    </row>
    <row r="1146" spans="1:4" ht="89.25">
      <c r="A1146" s="12" t="str">
        <f ca="1">IFERROR(__xludf.DUMMYFUNCTION("""COMPUTED_VALUE"""),"ИО 102-26/В исп.30 ""Аякс"" ОЕхiaIICT6 Ga Х IP66, Черный ПАШК.425119.008")</f>
        <v>ИО 102-26/В исп.30 "Аякс" ОЕхiaIICT6 Ga Х IP66, Черный ПАШК.425119.008</v>
      </c>
      <c r="B1146" s="13" t="str">
        <f ca="1">IFERROR(__xludf.DUMMYFUNCTION("""COMPUTED_VALUE"""),"Датчик на металл, исп. ВЗРЫВОБЕЗОПАСНОЕ , НР, из антистатичного пластика черного цвета МГШВЭ 2х0,35, вывод 2,5м*. Производитель рекомендует использовать датчик вместе с коробкой соединительной УСБ-Ех ""Север""""")</f>
        <v>Датчик на металл, исп. ВЗРЫВОБЕЗОПАСНОЕ , НР, из антистатичного пластика черного цвета МГШВЭ 2х0,35, вывод 2,5м*. Производитель рекомендует использовать датчик вместе с коробкой соединительной УСБ-Ех "Север""</v>
      </c>
      <c r="C1146" s="14">
        <f ca="1">IFERROR(__xludf.DUMMYFUNCTION("""COMPUTED_VALUE"""),7185.15)</f>
        <v>7185.15</v>
      </c>
      <c r="D1146" s="13"/>
    </row>
    <row r="1147" spans="1:4" ht="89.25">
      <c r="A1147" s="12" t="str">
        <f ca="1">IFERROR(__xludf.DUMMYFUNCTION("""COMPUTED_VALUE"""),"ИО 102-26/В исп.40 ""Аякс"" ОЕхiaIICT6 Ga Х IP66 ПАШК.425119.008")</f>
        <v>ИО 102-26/В исп.40 "Аякс" ОЕхiaIICT6 Ga Х IP66 ПАШК.425119.008</v>
      </c>
      <c r="B1147" s="13" t="str">
        <f ca="1">IFERROR(__xludf.DUMMYFUNCTION("""COMPUTED_VALUE"""),"Датчик на металл, исп. ВЗРЫВОБЕЗОПАСНОЕ , ПЕРЕКЛЮЧАЮЩИЙ, провод МГШВЭ 3х0,35, вывод 2,5м*.Производитель рекомендует использовать датчик вместе с коробкой соединительной УСБ-Ех ""Север""")</f>
        <v>Датчик на металл, исп. ВЗРЫВОБЕЗОПАСНОЕ , ПЕРЕКЛЮЧАЮЩИЙ, провод МГШВЭ 3х0,35, вывод 2,5м*.Производитель рекомендует использовать датчик вместе с коробкой соединительной УСБ-Ех "Север"</v>
      </c>
      <c r="C1147" s="14">
        <f ca="1">IFERROR(__xludf.DUMMYFUNCTION("""COMPUTED_VALUE"""),8484)</f>
        <v>8484</v>
      </c>
      <c r="D1147" s="13"/>
    </row>
    <row r="1148" spans="1:4" ht="102">
      <c r="A1148" s="12" t="str">
        <f ca="1">IFERROR(__xludf.DUMMYFUNCTION("""COMPUTED_VALUE"""),"ИО 102-26/В исп.40 ""Аякс"" ОЕхiaIICT6 Ga Х IP66, Черный ПАШК.425119.008")</f>
        <v>ИО 102-26/В исп.40 "Аякс" ОЕхiaIICT6 Ga Х IP66, Черный ПАШК.425119.008</v>
      </c>
      <c r="B1148" s="13" t="str">
        <f ca="1">IFERROR(__xludf.DUMMYFUNCTION("""COMPUTED_VALUE"""),"Датчик на металл, исп. ВЗРЫВОБЕЗОПАСНОЕ , ПЕРЕКЛЮЧАЮЩИЙ, из антистатичного пластика черного цвета, провод МГШВЭ 3х0,35, вывод 2,5м*.Производитель рекомендует использовать датчик вместе с коробкой соединительной УСБ-Ех ""Север""")</f>
        <v>Датчик на металл, исп. ВЗРЫВОБЕЗОПАСНОЕ , ПЕРЕКЛЮЧАЮЩИЙ, из антистатичного пластика черного цвета, провод МГШВЭ 3х0,35, вывод 2,5м*.Производитель рекомендует использовать датчик вместе с коробкой соединительной УСБ-Ех "Север"</v>
      </c>
      <c r="C1148" s="14">
        <f ca="1">IFERROR(__xludf.DUMMYFUNCTION("""COMPUTED_VALUE"""),8715)</f>
        <v>8715</v>
      </c>
      <c r="D1148" s="13"/>
    </row>
    <row r="1149" spans="1:4" ht="76.5">
      <c r="A1149" s="12" t="str">
        <f ca="1">IFERROR(__xludf.DUMMYFUNCTION("""COMPUTED_VALUE"""),"ИО 102-26/В исп.210 ОЕхiaIICT6 Ga Х, РЗН ПАШК.425119.008")</f>
        <v>ИО 102-26/В исп.210 ОЕхiaIICT6 Ga Х, РЗН ПАШК.425119.008</v>
      </c>
      <c r="B1149" s="13" t="str">
        <f ca="1">IFERROR(__xludf.DUMMYFUNCTION("""COMPUTED_VALUE"""),"Корпус-НЕРЖАВЕЙКА, НР, на металл, ВЗРЫВОЗАЩИЩЁННЫЙ, раст.сраб. 70 мм, металлорукав из нержавеющей стали 1000 мм.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раст.сраб. 70 мм, металлорукав из нержавеющей стали 1000 мм. Производитель рекомендует использовать датчик вместе с коробкой соединительной УСБ-Ех "Север". </v>
      </c>
      <c r="C1149" s="14">
        <f ca="1">IFERROR(__xludf.DUMMYFUNCTION("""COMPUTED_VALUE"""),21950)</f>
        <v>21950</v>
      </c>
      <c r="D1149" s="13"/>
    </row>
    <row r="1150" spans="1:4" ht="89.25">
      <c r="A1150" s="12" t="str">
        <f ca="1">IFERROR(__xludf.DUMMYFUNCTION("""COMPUTED_VALUE"""),"ИО 102-26/В исп.220 ОЕхiaIICT6 Ga Х, РЗН ПАШК.425119.008")</f>
        <v>ИО 102-26/В исп.220 ОЕхiaIICT6 Ga Х, РЗН ПАШК.425119.008</v>
      </c>
      <c r="B1150" s="13" t="str">
        <f ca="1">IFERROR(__xludf.DUMMYFUNCTION("""COMPUTED_VALUE"""),"Корпус-НЕРЖАВЕЙКА, переключающий, на металл, ВЗРЫВОЗАЩИЩЁННЫЙ, раст.сраб 70 мм, металлорукав из нержавеющей стали , 1000 мм. Производитель рекомендует использовать датчик вместе с коробкой соединительной УСБ-Ех ""Север"". ")</f>
        <v xml:space="preserve">Корпус-НЕРЖАВЕЙКА, переключающий, на металл, ВЗРЫВОЗАЩИЩЁННЫЙ, раст.сраб 70 мм, металлорукав из нержавеющей стали , 1000 мм. Производитель рекомендует использовать датчик вместе с коробкой соединительной УСБ-Ех "Север". </v>
      </c>
      <c r="C1150" s="14">
        <f ca="1">IFERROR(__xludf.DUMMYFUNCTION("""COMPUTED_VALUE"""),21973)</f>
        <v>21973</v>
      </c>
      <c r="D1150" s="13"/>
    </row>
    <row r="1151" spans="1:4" ht="76.5">
      <c r="A1151" s="12" t="str">
        <f ca="1">IFERROR(__xludf.DUMMYFUNCTION("""COMPUTED_VALUE"""),"ИО 102-26/В исп.230 ОЕхiaIICT6 Ga Х ПАШК.425119.008")</f>
        <v>ИО 102-26/В исп.230 ОЕхiaIICT6 Ga Х ПАШК.425119.008</v>
      </c>
      <c r="B1151" s="13" t="str">
        <f ca="1">IFERROR(__xludf.DUMMYFUNCTION("""COMPUTED_VALUE"""),"Корпус-НЕРЖАВЕЙКА, НР, на металл, ВЗРЫВОЗАЩИЩЁННЫЙ, расст.сраб.70мм, провод 1000 мм, двойная изоляция.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расст.сраб.70мм, провод 1000 мм, двойная изоляция. Производитель рекомендует использовать датчик вместе с коробкой соединительной УСБ-Ех "Север". </v>
      </c>
      <c r="C1151" s="14">
        <f ca="1">IFERROR(__xludf.DUMMYFUNCTION("""COMPUTED_VALUE"""),20947.25)</f>
        <v>20947.25</v>
      </c>
      <c r="D1151" s="13"/>
    </row>
    <row r="1152" spans="1:4" ht="89.25">
      <c r="A1152" s="12" t="str">
        <f ca="1">IFERROR(__xludf.DUMMYFUNCTION("""COMPUTED_VALUE"""),"ИО 102-26/В исп.240 ОЕхiaIICT6 Ga Х ПАШК.425119.008")</f>
        <v>ИО 102-26/В исп.240 ОЕхiaIICT6 Ga Х ПАШК.425119.008</v>
      </c>
      <c r="B1152" s="13" t="str">
        <f ca="1">IFERROR(__xludf.DUMMYFUNCTION("""COMPUTED_VALUE"""),"Корпус-НЕРЖАВЕЙКА, переключающий, на металл, ВЗРЫВОЗАЩИЩЁННЫЙ, раст.сраб. 70 мм, провод 1000 мм, двойная изоляция. Производитель рекомендует использовать датчик вместе с коробкой соединительной УСБ-Ех ""Север"". ")</f>
        <v xml:space="preserve">Корпус-НЕРЖАВЕЙКА, переключающий, на металл, ВЗРЫВОЗАЩИЩЁННЫЙ, раст.сраб. 70 мм, провод 1000 мм, двойная изоляция. Производитель рекомендует использовать датчик вместе с коробкой соединительной УСБ-Ех "Север". </v>
      </c>
      <c r="C1152" s="14">
        <f ca="1">IFERROR(__xludf.DUMMYFUNCTION("""COMPUTED_VALUE"""),21505)</f>
        <v>21505</v>
      </c>
      <c r="D1152" s="13"/>
    </row>
    <row r="1153" spans="1:4" ht="76.5">
      <c r="A1153" s="12" t="str">
        <f ca="1">IFERROR(__xludf.DUMMYFUNCTION("""COMPUTED_VALUE"""),"ИО 102-26/В исп.250 ОЕхiaIICT6 Ga Х ПАШК.425119.008")</f>
        <v>ИО 102-26/В исп.250 ОЕхiaIICT6 Ga Х ПАШК.425119.008</v>
      </c>
      <c r="B1153" s="13" t="str">
        <f ca="1">IFERROR(__xludf.DUMMYFUNCTION("""COMPUTED_VALUE"""),"Корпус-НЕРЖАВЕЙКА, НР, на металл, ВЗРЫВОЗАЩИЩЁННЫЙ,раст.сраб 100 мм, вывод 1000 мм, двойная изоляция.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ВЗРЫВОЗАЩИЩЁННЫЙ,раст.сраб 100 мм, вывод 1000 мм, двойная изоляция. Производитель рекомендует использовать датчик вместе с коробкой соединительной УСБ-Ех "Север". </v>
      </c>
      <c r="C1153" s="14">
        <f ca="1">IFERROR(__xludf.DUMMYFUNCTION("""COMPUTED_VALUE"""),23040.59615)</f>
        <v>23040.596150000001</v>
      </c>
      <c r="D1153" s="13"/>
    </row>
    <row r="1154" spans="1:4" ht="89.25">
      <c r="A1154" s="12" t="str">
        <f ca="1">IFERROR(__xludf.DUMMYFUNCTION("""COMPUTED_VALUE"""),"ИО 102-26/В исп.251 ОЕхiaIICT6 Ga Х, РЗН ПАШК.425119.008")</f>
        <v>ИО 102-26/В исп.251 ОЕхiaIICT6 Ga Х, РЗН ПАШК.425119.008</v>
      </c>
      <c r="B1154" s="13" t="str">
        <f ca="1">IFERROR(__xludf.DUMMYFUNCTION("""COMPUTED_VALUE"""),"Корпус-НЕРЖАВЕЙКА, НР, на металл, ВЗРЫВОЗАЩИЩЁННЫЙ, раст.сраб. 100 мм, вывод 1000 мм, металлорукав из нержавеющей стали. Производитель рекомендует использовать датчик вместе с коробкой соединительной УСБ-Ех ""Север"". ")</f>
        <v xml:space="preserve">Корпус-НЕРЖАВЕЙКА, НР, на металл, ВЗРЫВОЗАЩИЩЁННЫЙ, раст.сраб. 100 мм, вывод 1000 мм, металлорукав из нержавеющей стали. Производитель рекомендует использовать датчик вместе с коробкой соединительной УСБ-Ех "Север". </v>
      </c>
      <c r="C1154" s="14">
        <f ca="1">IFERROR(__xludf.DUMMYFUNCTION("""COMPUTED_VALUE"""),28380)</f>
        <v>28380</v>
      </c>
      <c r="D1154" s="13"/>
    </row>
    <row r="1155" spans="1:4" ht="63.75">
      <c r="A1155" s="12" t="str">
        <f ca="1">IFERROR(__xludf.DUMMYFUNCTION("""COMPUTED_VALUE"""),"ДИМК / В 0Ex ia IIC T6 Ga Х ПАШК.425119.016")</f>
        <v>ДИМК / В 0Ex ia IIC T6 Ga Х ПАШК.425119.016</v>
      </c>
      <c r="B1155" s="13" t="str">
        <f ca="1">IFERROR(__xludf.DUMMYFUNCTION("""COMPUTED_VALUE"""),"Датчик разрушения стекла исп. ВЗРЫВОБЕЗОПАСНОЕ . Производитель рекомендует использовать датчик вместе с коробкой соединительной УСБ-Ех ""Север""")</f>
        <v>Датчик разрушения стекла исп. ВЗРЫВОБЕЗОПАСНОЕ . Производитель рекомендует использовать датчик вместе с коробкой соединительной УСБ-Ех "Север"</v>
      </c>
      <c r="C1155" s="14">
        <f ca="1">IFERROR(__xludf.DUMMYFUNCTION("""COMPUTED_VALUE"""),2911.2)</f>
        <v>2911.2</v>
      </c>
      <c r="D1155" s="13"/>
    </row>
    <row r="1156" spans="1:4" ht="76.5">
      <c r="A1156" s="12" t="str">
        <f ca="1">IFERROR(__xludf.DUMMYFUNCTION("""COMPUTED_VALUE"""),"ИП 103-10- (А1)/В 1ExibIIBT6 Х IP 65 ПАШК.425119.050")</f>
        <v>ИП 103-10- (А1)/В 1ExibIIBT6 Х IP 65 ПАШК.425119.050</v>
      </c>
      <c r="B1156" s="13" t="str">
        <f ca="1">IFERROR(__xludf.DUMMYFUNCTION("""COMPUTED_VALUE"""),"Тепловой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v>
      </c>
      <c r="C1156" s="14">
        <f ca="1">IFERROR(__xludf.DUMMYFUNCTION("""COMPUTED_VALUE"""),2570)</f>
        <v>2570</v>
      </c>
      <c r="D1156" s="13"/>
    </row>
    <row r="1157" spans="1:4" ht="76.5">
      <c r="A1157" s="12" t="str">
        <f ca="1">IFERROR(__xludf.DUMMYFUNCTION("""COMPUTED_VALUE"""),"ИП 103-10- (А1)/В 1ExibIIBT6 Х в комплекте с УС-Ех 0ExiaIICT6")</f>
        <v>ИП 103-10- (А1)/В 1ExibIIBT6 Х в комплекте с УС-Ех 0ExiaIICT6</v>
      </c>
      <c r="B1157" s="13" t="str">
        <f ca="1">IFERROR(__xludf.DUMMYFUNCTION("""COMPUTED_VALUE"""),"Тепловой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 встроенный световой индикатор , 54°С--65°С(встроенная электронная плата индикации). Производитель рекомендует использовать датчик вместе с коробкой соединительной УС-Ех</v>
      </c>
      <c r="C1157" s="14">
        <f ca="1">IFERROR(__xludf.DUMMYFUNCTION("""COMPUTED_VALUE"""),5990)</f>
        <v>5990</v>
      </c>
      <c r="D1157" s="13"/>
    </row>
    <row r="1158" spans="1:4" ht="76.5">
      <c r="A1158" s="12" t="str">
        <f ca="1">IFERROR(__xludf.DUMMYFUNCTION("""COMPUTED_VALUE"""),"ИП 103-10- (А3)/В 1ExibIIBT6 Х IP 65 ПАШК.425119.050")</f>
        <v>ИП 103-10- (А3)/В 1ExibIIBT6 Х IP 65 ПАШК.425119.050</v>
      </c>
      <c r="B1158" s="13" t="str">
        <f ca="1">IFERROR(__xludf.DUMMYFUNCTION("""COMPUTED_VALUE"""),"Тепловой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v>
      </c>
      <c r="C1158" s="14">
        <f ca="1">IFERROR(__xludf.DUMMYFUNCTION("""COMPUTED_VALUE"""),2570)</f>
        <v>2570</v>
      </c>
      <c r="D1158" s="13"/>
    </row>
    <row r="1159" spans="1:4" ht="76.5">
      <c r="A1159" s="12" t="str">
        <f ca="1">IFERROR(__xludf.DUMMYFUNCTION("""COMPUTED_VALUE"""),"ИП 103-10- (А3)/В 1ExibIIBT6 Х в комплекте с УС-Ех 0ExiaIICT6")</f>
        <v>ИП 103-10- (А3)/В 1ExibIIBT6 Х в комплекте с УС-Ех 0ExiaIICT6</v>
      </c>
      <c r="B1159" s="13" t="str">
        <f ca="1">IFERROR(__xludf.DUMMYFUNCTION("""COMPUTED_VALUE"""),"Тепловой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f>
        <v>Тепловой взрывозащищённый, встроенный световой индикатор, 64°С—76°С(встроенная электронная плата индикации). Производитель рекомендует использовать датчик вместе с коробкой соединительной УС-Ех</v>
      </c>
      <c r="C1159" s="14">
        <f ca="1">IFERROR(__xludf.DUMMYFUNCTION("""COMPUTED_VALUE"""),5990)</f>
        <v>5990</v>
      </c>
      <c r="D1159" s="13"/>
    </row>
    <row r="1160" spans="1:4" ht="76.5">
      <c r="A1160" s="12" t="str">
        <f ca="1">IFERROR(__xludf.DUMMYFUNCTION("""COMPUTED_VALUE"""),"ИПР 514-2/В «Культ» 0EXiaIICT6 X IР54 ПАШК.425211.010")</f>
        <v>ИПР 514-2/В «Культ» 0EXiaIICT6 X IР54 ПАШК.425211.010</v>
      </c>
      <c r="B1160" s="13" t="str">
        <f ca="1">IFERROR(__xludf.DUMMYFUNCTION("""COMPUTED_VALUE"""),"Извещатель пожарный ручной,металл.педаль до 25В ВЗРЫВОБЕЗОПАСНЫЙ . Производитель рекомендует использовать датчик вместе с коробкой соединительной УСБ-Ех ""Север""")</f>
        <v>Извещатель пожарный ручной,металл.педаль до 25В ВЗРЫВОБЕЗОПАСНЫЙ . Производитель рекомендует использовать датчик вместе с коробкой соединительной УСБ-Ех "Север"</v>
      </c>
      <c r="C1160" s="14">
        <f ca="1">IFERROR(__xludf.DUMMYFUNCTION("""COMPUTED_VALUE"""),10148.2)</f>
        <v>10148.200000000001</v>
      </c>
      <c r="D1160" s="13"/>
    </row>
    <row r="1161" spans="1:4" ht="76.5">
      <c r="A1161" s="12" t="str">
        <f ca="1">IFERROR(__xludf.DUMMYFUNCTION("""COMPUTED_VALUE"""),"ИПР 514-2/В И «Культ» 1ExibIIBT6 X IР54 ПАШК.425211.010")</f>
        <v>ИПР 514-2/В И «Культ» 1ExibIIBT6 X IР54 ПАШК.425211.010</v>
      </c>
      <c r="B1161" s="13" t="str">
        <f ca="1">IFERROR(__xludf.DUMMYFUNCTION("""COMPUTED_VALUE"""),"Извещатель пожарный ручной,металл.педаль до 25В ВЗРЫВОБЕЗОПАСНЫЙ С ИНДИКАЦИЕЙ . Производитель рекомендует использовать датчик вместе с коробкой соединительной УСБ-Ех ""Север""")</f>
        <v>Извещатель пожарный ручной,металл.педаль до 25В ВЗРЫВОБЕЗОПАСНЫЙ С ИНДИКАЦИЕЙ . Производитель рекомендует использовать датчик вместе с коробкой соединительной УСБ-Ех "Север"</v>
      </c>
      <c r="C1161" s="14">
        <f ca="1">IFERROR(__xludf.DUMMYFUNCTION("""COMPUTED_VALUE"""),10455)</f>
        <v>10455</v>
      </c>
      <c r="D1161" s="13"/>
    </row>
    <row r="1162" spans="1:4" ht="12.75">
      <c r="A1162" s="12" t="str">
        <f ca="1">IFERROR(__xludf.DUMMYFUNCTION("""COMPUTED_VALUE"""),"Ручка к ИП 535/В")</f>
        <v>Ручка к ИП 535/В</v>
      </c>
      <c r="B1162" s="13" t="str">
        <f ca="1">IFERROR(__xludf.DUMMYFUNCTION("""COMPUTED_VALUE"""),"Ручка для ИПР 535/В")</f>
        <v>Ручка для ИПР 535/В</v>
      </c>
      <c r="C1162" s="14">
        <f ca="1">IFERROR(__xludf.DUMMYFUNCTION("""COMPUTED_VALUE"""),411.4)</f>
        <v>411.4</v>
      </c>
      <c r="D1162" s="13"/>
    </row>
    <row r="1163" spans="1:4" ht="25.5">
      <c r="A1163" s="12" t="str">
        <f ca="1">IFERROR(__xludf.DUMMYFUNCTION("""COMPUTED_VALUE"""),"БИСШ [Exia]IIC/IIB IP54 АТФЕ.426439.001")</f>
        <v>БИСШ [Exia]IIC/IIB IP54 АТФЕ.426439.001</v>
      </c>
      <c r="B1163" s="13" t="str">
        <f ca="1">IFERROR(__xludf.DUMMYFUNCTION("""COMPUTED_VALUE"""),"Барьер искрозащиты шлейфа , для работы с ППК , Uвых.-24 В")</f>
        <v>Барьер искрозащиты шлейфа , для работы с ППК , Uвых.-24 В</v>
      </c>
      <c r="C1163" s="14">
        <f ca="1">IFERROR(__xludf.DUMMYFUNCTION("""COMPUTED_VALUE"""),9276.135)</f>
        <v>9276.1350000000002</v>
      </c>
      <c r="D1163" s="13"/>
    </row>
    <row r="1164" spans="1:4" ht="76.5">
      <c r="A1164" s="12" t="str">
        <f ca="1">IFERROR(__xludf.DUMMYFUNCTION("""COMPUTED_VALUE"""),"АБИ-1 АЯКС (12В, 300мА, IP66)")</f>
        <v>АБИ-1 АЯКС (12В, 300мА, IP66)</v>
      </c>
      <c r="B1164" s="13" t="str">
        <f ca="1">IFERROR(__xludf.DUMMYFUNCTION("""COMPUTED_VALUE"""),"Барьер искрозащиты, одноканальный, активный, U пит 12 В, Iнагр 300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300 мА, в герметичном корпусе IP66, Траб от -40 до +60°С. Предназначен для обеспечение искробезопасности одного шлейфа пожарной или охранной сигнализации.</v>
      </c>
      <c r="C1164" s="14">
        <f ca="1">IFERROR(__xludf.DUMMYFUNCTION("""COMPUTED_VALUE"""),2100)</f>
        <v>2100</v>
      </c>
      <c r="D1164" s="13"/>
    </row>
    <row r="1165" spans="1:4" ht="76.5">
      <c r="A1165" s="12" t="str">
        <f ca="1">IFERROR(__xludf.DUMMYFUNCTION("""COMPUTED_VALUE"""),"АБИ-1 АЯКС (12В, 600мА, IP66)")</f>
        <v>АБИ-1 АЯКС (12В, 600мА, IP66)</v>
      </c>
      <c r="B1165" s="13" t="str">
        <f ca="1">IFERROR(__xludf.DUMMYFUNCTION("""COMPUTED_VALUE"""),"Барьер искрозащиты, одноканальный, активный, U пит 12 В, Iнагр 600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600 мА, в герметичном корпусе IP66, Траб от -40 до +60°С. Предназначен для обеспечение искробезопасности одного шлейфа пожарной или охранной сигнализации.</v>
      </c>
      <c r="C1165" s="14">
        <f ca="1">IFERROR(__xludf.DUMMYFUNCTION("""COMPUTED_VALUE"""),4100)</f>
        <v>4100</v>
      </c>
      <c r="D1165" s="13"/>
    </row>
    <row r="1166" spans="1:4" ht="76.5">
      <c r="A1166" s="12" t="str">
        <f ca="1">IFERROR(__xludf.DUMMYFUNCTION("""COMPUTED_VALUE"""),"АБИ-2 АЯКС (12В, 300мА, IP66)")</f>
        <v>АБИ-2 АЯКС (12В, 300мА, IP66)</v>
      </c>
      <c r="B1166" s="13" t="str">
        <f ca="1">IFERROR(__xludf.DUMMYFUNCTION("""COMPUTED_VALUE"""),"Барьер искрозащиты, двухканальный, активный, U пит 12 В, Iнагр 300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300 мА,
  в герметичном корпусе IP66, Траб от -40 до +60°С. Предназначен для обеспечение искробезопасности двух шлейфов пожарной или охранной сигнализации.</v>
      </c>
      <c r="C1166" s="14">
        <f ca="1">IFERROR(__xludf.DUMMYFUNCTION("""COMPUTED_VALUE"""),2250)</f>
        <v>2250</v>
      </c>
      <c r="D1166" s="13"/>
    </row>
    <row r="1167" spans="1:4" ht="76.5">
      <c r="A1167" s="12" t="str">
        <f ca="1">IFERROR(__xludf.DUMMYFUNCTION("""COMPUTED_VALUE"""),"АБИ-2 АЯКС (12В, 600мА, IP66)")</f>
        <v>АБИ-2 АЯКС (12В, 600мА, IP66)</v>
      </c>
      <c r="B1167" s="13" t="str">
        <f ca="1">IFERROR(__xludf.DUMMYFUNCTION("""COMPUTED_VALUE"""),"Барьер искрозащиты, двухканальный, активный, U пит 12 В, Iнагр 600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600 мА,
  в герметичном корпусе IP66, Траб от -40 до +60°С. Предназначен для обеспечение искробезопасности двух шлейфов пожарной или охранной сигнализации.</v>
      </c>
      <c r="C1167" s="14">
        <f ca="1">IFERROR(__xludf.DUMMYFUNCTION("""COMPUTED_VALUE"""),4300)</f>
        <v>4300</v>
      </c>
      <c r="D1167" s="13"/>
    </row>
    <row r="1168" spans="1:4" ht="76.5">
      <c r="A1168" s="12" t="str">
        <f ca="1">IFERROR(__xludf.DUMMYFUNCTION("""COMPUTED_VALUE"""),"АБИ-1 АЯКС (24В, 50мА, IP66)")</f>
        <v>АБИ-1 АЯКС (24В, 50мА, IP66)</v>
      </c>
      <c r="B1168" s="13" t="str">
        <f ca="1">IFERROR(__xludf.DUMMYFUNCTION("""COMPUTED_VALUE"""),"Барьер искрозащиты, одноканальный, активный, Uпит 24 В, Iнагр 50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50 мА, в герметичном корпусе IP66, Траб от -40 до +60°С. Предназначен для обеспечение искробезопасности одного шлейфа пожарной или охранной сигнализации.</v>
      </c>
      <c r="C1168" s="14">
        <f ca="1">IFERROR(__xludf.DUMMYFUNCTION("""COMPUTED_VALUE"""),2100)</f>
        <v>2100</v>
      </c>
      <c r="D1168" s="13"/>
    </row>
    <row r="1169" spans="1:4" ht="76.5">
      <c r="A1169" s="12" t="str">
        <f ca="1">IFERROR(__xludf.DUMMYFUNCTION("""COMPUTED_VALUE"""),"АБИ-1 АЯКС (24В, 100мА, IP66)")</f>
        <v>АБИ-1 АЯКС (24В, 100мА, IP66)</v>
      </c>
      <c r="B1169" s="13" t="str">
        <f ca="1">IFERROR(__xludf.DUMMYFUNCTION("""COMPUTED_VALUE"""),"Барьер искрозащиты, одноканальный, активный, Uпит 24 В, Iнагр 100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100 мА, в герметичном корпусе IP66, Траб от -40 до +60°С. Предназначен для обеспечение искробезопасности одного шлейфа пожарной или охранной сигнализации.</v>
      </c>
      <c r="C1169" s="14">
        <f ca="1">IFERROR(__xludf.DUMMYFUNCTION("""COMPUTED_VALUE"""),4100)</f>
        <v>4100</v>
      </c>
      <c r="D1169" s="13"/>
    </row>
    <row r="1170" spans="1:4" ht="76.5">
      <c r="A1170" s="12" t="str">
        <f ca="1">IFERROR(__xludf.DUMMYFUNCTION("""COMPUTED_VALUE"""),"АБИ-2 АЯКС (24В, 50мА, IP66)")</f>
        <v>АБИ-2 АЯКС (24В, 50мА, IP66)</v>
      </c>
      <c r="B1170" s="13" t="str">
        <f ca="1">IFERROR(__xludf.DUMMYFUNCTION("""COMPUTED_VALUE"""),"Барьер искрозащиты, двухканальный, активный, Uпит 24 В, Iнагр 50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50 мА,
  в герметичном корпусе IP66, Траб от -40 до +60°С. Предназначен для обеспечение искробезопасности двух шлейфов пожарной или охранной сигнализации.</v>
      </c>
      <c r="C1170" s="14">
        <f ca="1">IFERROR(__xludf.DUMMYFUNCTION("""COMPUTED_VALUE"""),2250)</f>
        <v>2250</v>
      </c>
      <c r="D1170" s="13"/>
    </row>
    <row r="1171" spans="1:4" ht="76.5">
      <c r="A1171" s="12" t="str">
        <f ca="1">IFERROR(__xludf.DUMMYFUNCTION("""COMPUTED_VALUE"""),"АБИ-2 АЯКС (24В, 100мА, IP66)")</f>
        <v>АБИ-2 АЯКС (24В, 100мА, IP66)</v>
      </c>
      <c r="B1171" s="13" t="str">
        <f ca="1">IFERROR(__xludf.DUMMYFUNCTION("""COMPUTED_VALUE"""),"Барьер искрозащиты, двухканальный, активный, Uпит 24 В, Iнагр 100 мА,
  в герметичном корпусе IP66,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100 мА,
  в герметичном корпусе IP66, Траб от -40 до +60°С. Предназначен для обеспечение искробезопасности двух шлейфов пожарной или охранной сигнализации.</v>
      </c>
      <c r="C1171" s="14">
        <f ca="1">IFERROR(__xludf.DUMMYFUNCTION("""COMPUTED_VALUE"""),4300)</f>
        <v>4300</v>
      </c>
      <c r="D1171" s="13"/>
    </row>
    <row r="1172" spans="1:4" ht="76.5">
      <c r="A1172" s="12" t="str">
        <f ca="1">IFERROR(__xludf.DUMMYFUNCTION("""COMPUTED_VALUE"""),"БИСШ-1 АЯКС (9-28В, 45мА, IP66)")</f>
        <v>БИСШ-1 АЯКС (9-28В, 45мА, IP66)</v>
      </c>
      <c r="B1172" s="13" t="str">
        <f ca="1">IFERROR(__xludf.DUMMYFUNCTION("""COMPUTED_VALUE"""),"Барьер искрозащиты, одноканальный, пассивный, Uпит 9-28 В , Iнагр 45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 Iнагр 45 мА, в герметичном корпусе IP66, Траб от -40 до +60°С. Предназначен для обеспечение искробезопасности одного шлейфа пожарной или охранной сигнализации.</v>
      </c>
      <c r="C1172" s="14">
        <f ca="1">IFERROR(__xludf.DUMMYFUNCTION("""COMPUTED_VALUE"""),9276)</f>
        <v>9276</v>
      </c>
      <c r="D1172" s="13"/>
    </row>
    <row r="1173" spans="1:4" ht="76.5">
      <c r="A1173" s="12" t="str">
        <f ca="1">IFERROR(__xludf.DUMMYFUNCTION("""COMPUTED_VALUE"""),"БИСШ-1 АЯКС (9-28В, 93мА, IP66)")</f>
        <v>БИСШ-1 АЯКС (9-28В, 93мА, IP66)</v>
      </c>
      <c r="B1173" s="13" t="str">
        <f ca="1">IFERROR(__xludf.DUMMYFUNCTION("""COMPUTED_VALUE"""),"Барьер искрозащиты, одноканальный,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v>
      </c>
      <c r="C1173" s="14">
        <f ca="1">IFERROR(__xludf.DUMMYFUNCTION("""COMPUTED_VALUE"""),9900)</f>
        <v>9900</v>
      </c>
      <c r="D1173" s="13"/>
    </row>
    <row r="1174" spans="1:4" ht="89.25">
      <c r="A1174" s="12" t="str">
        <f ca="1">IFERROR(__xludf.DUMMYFUNCTION("""COMPUTED_VALUE"""),"БИСШ-2 АЯКС (9-28В, 45мА, IP66)")</f>
        <v>БИСШ-2 АЯКС (9-28В, 45мА, IP66)</v>
      </c>
      <c r="B1174" s="13" t="str">
        <f ca="1">IFERROR(__xludf.DUMMYFUNCTION("""COMPUTED_VALUE"""),"Барьер искрозащиты, два незавизимых канала, пассивный, Uпит 9-28 В, Iнагр 45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два незавизимых канала, пассивный, Uпит 9-28 В, Iнагр 45 мА, в герметичном корпусе IP66, Траб от -40 до +60°С. Предназначен для обеспечение искробезопасности одного шлейфа пожарной или охранной сигнализации.</v>
      </c>
      <c r="C1174" s="14">
        <f ca="1">IFERROR(__xludf.DUMMYFUNCTION("""COMPUTED_VALUE"""),12900)</f>
        <v>12900</v>
      </c>
      <c r="D1174" s="13"/>
    </row>
    <row r="1175" spans="1:4" ht="89.25">
      <c r="A1175" s="12" t="str">
        <f ca="1">IFERROR(__xludf.DUMMYFUNCTION("""COMPUTED_VALUE"""),"БИСШ-2 АЯКС (9-28В, 93мА, IP66)")</f>
        <v>БИСШ-2 АЯКС (9-28В, 93мА, IP66)</v>
      </c>
      <c r="B1175" s="13" t="str">
        <f ca="1">IFERROR(__xludf.DUMMYFUNCTION("""COMPUTED_VALUE"""),"Барьер искрозащиты, два незаисимых канала,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f>
        <v>Барьер искрозащиты, два незаисимых канала, пассивный, Uпит 9-28 В, Iнагр 93 мА, в герметичном корпусе IP66, Траб от -40 до +60°С. Предназначен для обеспечение искробезопасности одного шлейфа пожарной или охранной сигнализации.</v>
      </c>
      <c r="C1175" s="14">
        <f ca="1">IFERROR(__xludf.DUMMYFUNCTION("""COMPUTED_VALUE"""),12900)</f>
        <v>12900</v>
      </c>
      <c r="D1175" s="13"/>
    </row>
    <row r="1176" spans="1:4" ht="89.25">
      <c r="A1176" s="12" t="str">
        <f ca="1">IFERROR(__xludf.DUMMYFUNCTION("""COMPUTED_VALUE"""),"АБИ-1DIN АЯКС (12В, 300мА, IP20)")</f>
        <v>АБИ-1DIN АЯКС (12В, 300мА, IP20)</v>
      </c>
      <c r="B1176" s="13" t="str">
        <f ca="1">IFERROR(__xludf.DUMMYFUNCTION("""COMPUTED_VALUE"""),"Барьер искрозащиты, одноканальный, активный, U пит 12 В, Iнагр 300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300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76" s="14">
        <f ca="1">IFERROR(__xludf.DUMMYFUNCTION("""COMPUTED_VALUE"""),1850)</f>
        <v>1850</v>
      </c>
      <c r="D1176" s="13"/>
    </row>
    <row r="1177" spans="1:4" ht="89.25">
      <c r="A1177" s="12" t="str">
        <f ca="1">IFERROR(__xludf.DUMMYFUNCTION("""COMPUTED_VALUE"""),"АБИ-1DIN АЯКС (12В, 600мА, IP20)")</f>
        <v>АБИ-1DIN АЯКС (12В, 600мА, IP20)</v>
      </c>
      <c r="B1177" s="13" t="str">
        <f ca="1">IFERROR(__xludf.DUMMYFUNCTION("""COMPUTED_VALUE"""),"Барьер искрозащиты, одноканальный, активный, U пит 12 В, Iнагр 600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 пит 12 В, Iнагр 600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77" s="14">
        <f ca="1">IFERROR(__xludf.DUMMYFUNCTION("""COMPUTED_VALUE"""),4100)</f>
        <v>4100</v>
      </c>
      <c r="D1177" s="13"/>
    </row>
    <row r="1178" spans="1:4" ht="89.25">
      <c r="A1178" s="12" t="str">
        <f ca="1">IFERROR(__xludf.DUMMYFUNCTION("""COMPUTED_VALUE"""),"АБИ-2DIN АЯКС (12В, 300мА, IP20)")</f>
        <v>АБИ-2DIN АЯКС (12В, 300мА, IP20)</v>
      </c>
      <c r="B1178" s="13" t="str">
        <f ca="1">IFERROR(__xludf.DUMMYFUNCTION("""COMPUTED_VALUE"""),"Барьер искрозащиты, двухканальный, активный, U пит 12 В, Iнагр 300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300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78" s="14">
        <f ca="1">IFERROR(__xludf.DUMMYFUNCTION("""COMPUTED_VALUE"""),2250)</f>
        <v>2250</v>
      </c>
      <c r="D1178" s="13"/>
    </row>
    <row r="1179" spans="1:4" ht="89.25">
      <c r="A1179" s="12" t="str">
        <f ca="1">IFERROR(__xludf.DUMMYFUNCTION("""COMPUTED_VALUE"""),"АБИ-2DIN АЯКС (12В, 600мА, IP20)")</f>
        <v>АБИ-2DIN АЯКС (12В, 600мА, IP20)</v>
      </c>
      <c r="B1179" s="13" t="str">
        <f ca="1">IFERROR(__xludf.DUMMYFUNCTION("""COMPUTED_VALUE"""),"Барьер искрозащиты, двухканальный, активный, U пит 12 В, Iнагр 600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 пит 12 В, Iнагр 600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79" s="14">
        <f ca="1">IFERROR(__xludf.DUMMYFUNCTION("""COMPUTED_VALUE"""),4300)</f>
        <v>4300</v>
      </c>
      <c r="D1179" s="13"/>
    </row>
    <row r="1180" spans="1:4" ht="89.25">
      <c r="A1180" s="12" t="str">
        <f ca="1">IFERROR(__xludf.DUMMYFUNCTION("""COMPUTED_VALUE"""),"АБИ-1DIN АЯКС (24В, 50мА, IP20)")</f>
        <v>АБИ-1DIN АЯКС (24В, 50мА, IP20)</v>
      </c>
      <c r="B1180" s="13" t="str">
        <f ca="1">IFERROR(__xludf.DUMMYFUNCTION("""COMPUTED_VALUE"""),"Барьер искрозащиты, одноканальный, активный, Uпит 24 В, Iнагр 50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50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0" s="14">
        <f ca="1">IFERROR(__xludf.DUMMYFUNCTION("""COMPUTED_VALUE"""),1850)</f>
        <v>1850</v>
      </c>
      <c r="D1180" s="13"/>
    </row>
    <row r="1181" spans="1:4" ht="89.25">
      <c r="A1181" s="12" t="str">
        <f ca="1">IFERROR(__xludf.DUMMYFUNCTION("""COMPUTED_VALUE"""),"АБИ-1DIN АЯКС (24В, 100мА, IP20)")</f>
        <v>АБИ-1DIN АЯКС (24В, 100мА, IP20)</v>
      </c>
      <c r="B1181" s="13" t="str">
        <f ca="1">IFERROR(__xludf.DUMMYFUNCTION("""COMPUTED_VALUE"""),"Барьер искрозащиты, одноканальный, активный, Uпит 24 В, Iнагр 100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активный, Uпит 24 В, Iнагр 100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1" s="14">
        <f ca="1">IFERROR(__xludf.DUMMYFUNCTION("""COMPUTED_VALUE"""),4100)</f>
        <v>4100</v>
      </c>
      <c r="D1181" s="13"/>
    </row>
    <row r="1182" spans="1:4" ht="89.25">
      <c r="A1182" s="12" t="str">
        <f ca="1">IFERROR(__xludf.DUMMYFUNCTION("""COMPUTED_VALUE"""),"АБИ-2DIN АЯКС (24В, 50мА, IP20)")</f>
        <v>АБИ-2DIN АЯКС (24В, 50мА, IP20)</v>
      </c>
      <c r="B1182" s="13" t="str">
        <f ca="1">IFERROR(__xludf.DUMMYFUNCTION("""COMPUTED_VALUE"""),"Барьер искрозащиты, двухканальный, активный, Uпит 24 В, Iнагр 50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50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2" s="14">
        <f ca="1">IFERROR(__xludf.DUMMYFUNCTION("""COMPUTED_VALUE"""),2250)</f>
        <v>2250</v>
      </c>
      <c r="D1182" s="13"/>
    </row>
    <row r="1183" spans="1:4" ht="89.25">
      <c r="A1183" s="12" t="str">
        <f ca="1">IFERROR(__xludf.DUMMYFUNCTION("""COMPUTED_VALUE"""),"АБИ-2DIN АЯКС (24В, 100мА, IP20)")</f>
        <v>АБИ-2DIN АЯКС (24В, 100мА, IP20)</v>
      </c>
      <c r="B1183" s="13" t="str">
        <f ca="1">IFERROR(__xludf.DUMMYFUNCTION("""COMPUTED_VALUE"""),"Барьер искрозащиты, двухканальный, активный, Uпит 24 В, Iнагр 100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f>
        <v>Барьер искрозащиты, двухканальный, активный, Uпит 24 В, Iнагр 100 мА,
  в корпусе для крепления на DIN-рейку IP20, Траб от -40 до +60°С. Предназначен для обеспечение искробезопасности двух шлейфов пожарной или охранной сигнализации.</v>
      </c>
      <c r="C1183" s="14">
        <f ca="1">IFERROR(__xludf.DUMMYFUNCTION("""COMPUTED_VALUE"""),4100)</f>
        <v>4100</v>
      </c>
      <c r="D1183" s="13"/>
    </row>
    <row r="1184" spans="1:4" ht="89.25">
      <c r="A1184" s="12" t="str">
        <f ca="1">IFERROR(__xludf.DUMMYFUNCTION("""COMPUTED_VALUE"""),"БИСШ-1DIN АЯКС (9-28В, 45мА, IP20)")</f>
        <v>БИСШ-1DIN АЯКС (9-28В, 45мА, IP20)</v>
      </c>
      <c r="B1184" s="13" t="str">
        <f ca="1">IFERROR(__xludf.DUMMYFUNCTION("""COMPUTED_VALUE"""),"Барьер искрозащиты, одноканальный, пассивный, Uпит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4" s="14">
        <f ca="1">IFERROR(__xludf.DUMMYFUNCTION("""COMPUTED_VALUE"""),9276)</f>
        <v>9276</v>
      </c>
      <c r="D1184" s="13"/>
    </row>
    <row r="1185" spans="1:4" ht="89.25">
      <c r="A1185" s="12" t="str">
        <f ca="1">IFERROR(__xludf.DUMMYFUNCTION("""COMPUTED_VALUE"""),"БИСШ-1DIN АЯКС (9-28В, 93мА, IP20)")</f>
        <v>БИСШ-1DIN АЯКС (9-28В, 93мА, IP20)</v>
      </c>
      <c r="B1185" s="13" t="str">
        <f ca="1">IFERROR(__xludf.DUMMYFUNCTION("""COMPUTED_VALUE"""),"Барьер искрозащиты, одноканальный,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одноканальный,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5" s="14">
        <f ca="1">IFERROR(__xludf.DUMMYFUNCTION("""COMPUTED_VALUE"""),9900)</f>
        <v>9900</v>
      </c>
      <c r="D1185" s="13"/>
    </row>
    <row r="1186" spans="1:4" ht="89.25">
      <c r="A1186" s="12" t="str">
        <f ca="1">IFERROR(__xludf.DUMMYFUNCTION("""COMPUTED_VALUE"""),"БИСШ-2DIN АЯКС (9-28В, 45мА, IP20)")</f>
        <v>БИСШ-2DIN АЯКС (9-28В, 45мА, IP20)</v>
      </c>
      <c r="B1186" s="13" t="str">
        <f ca="1">IFERROR(__xludf.DUMMYFUNCTION("""COMPUTED_VALUE"""),"Барьер искрозащиты, два независимых канала, пассивный, U 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два независимых канала, пассивный, U пит 9-28 В, Iнагр 45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6" s="14">
        <f ca="1">IFERROR(__xludf.DUMMYFUNCTION("""COMPUTED_VALUE"""),12900)</f>
        <v>12900</v>
      </c>
      <c r="D1186" s="13"/>
    </row>
    <row r="1187" spans="1:4" ht="89.25">
      <c r="A1187" s="12" t="str">
        <f ca="1">IFERROR(__xludf.DUMMYFUNCTION("""COMPUTED_VALUE"""),"БИСШ-2DIN АЯКС (9-28В, 93мА, IP20)")</f>
        <v>БИСШ-2DIN АЯКС (9-28В, 93мА, IP20)</v>
      </c>
      <c r="B1187" s="13" t="str">
        <f ca="1">IFERROR(__xludf.DUMMYFUNCTION("""COMPUTED_VALUE"""),"Барьер искрозащиты, два независимых канала,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f>
        <v>Барьер искрозащиты, два независимых канала, пассивный, Uпит 9-28 В, Iнагр 93 мА, в корпусе для крепления на DIN-рейку IP20, Траб от -40 до +60°С. Предназначен для обеспечение искробезопасности одного шлейфа пожарной или охранной сигнализации.</v>
      </c>
      <c r="C1187" s="14">
        <f ca="1">IFERROR(__xludf.DUMMYFUNCTION("""COMPUTED_VALUE"""),12900)</f>
        <v>12900</v>
      </c>
      <c r="D1187" s="13"/>
    </row>
    <row r="1188" spans="1:4" ht="63.75">
      <c r="A1188" s="12" t="str">
        <f ca="1">IFERROR(__xludf.DUMMYFUNCTION("""COMPUTED_VALUE"""),"УС-4-Ех (каб.вводы 3-5,3мм) 0ExiaIICT6 IP 65 ПАШК.425212.050")</f>
        <v>УС-4-Ех (каб.вводы 3-5,3мм) 0ExiaIICT6 IP 65 ПАШК.425212.050</v>
      </c>
      <c r="B1188" s="13" t="str">
        <f ca="1">IFERROR(__xludf.DUMMYFUNCTION("""COMPUTED_VALUE"""),"Устройство соединительное взрывозащищённое. до 16 клемм , до 4 кабельных вводов. Обеспечивают ввод подключаемого кабеля диаметром от 3 до 5,3 мм")</f>
        <v>Устройство соединительное взрывозащищённое. до 16 клемм , до 4 кабельных вводов. Обеспечивают ввод подключаемого кабеля диаметром от 3 до 5,3 мм</v>
      </c>
      <c r="C1188" s="14">
        <f ca="1">IFERROR(__xludf.DUMMYFUNCTION("""COMPUTED_VALUE"""),3420)</f>
        <v>3420</v>
      </c>
      <c r="D1188" s="13"/>
    </row>
    <row r="1189" spans="1:4" ht="63.75">
      <c r="A1189" s="12" t="str">
        <f ca="1">IFERROR(__xludf.DUMMYFUNCTION("""COMPUTED_VALUE"""),"УС-4-Ех (каб.вводы 4,5-8мм) 0ExiaIICT6 IP 65 ПАШК.425212.050")</f>
        <v>УС-4-Ех (каб.вводы 4,5-8мм) 0ExiaIICT6 IP 65 ПАШК.425212.050</v>
      </c>
      <c r="B1189" s="13" t="str">
        <f ca="1">IFERROR(__xludf.DUMMYFUNCTION("""COMPUTED_VALUE"""),"Устройство соединительное взрывозащищённое. до 16 клемм , до 4 кабельных вводов. Обеспечивают ввод подключаемого кабеля диаметром от 4,5 до 8 мм")</f>
        <v>Устройство соединительное взрывозащищённое. до 16 клемм , до 4 кабельных вводов. Обеспечивают ввод подключаемого кабеля диаметром от 4,5 до 8 мм</v>
      </c>
      <c r="C1189" s="14">
        <f ca="1">IFERROR(__xludf.DUMMYFUNCTION("""COMPUTED_VALUE"""),3475)</f>
        <v>3475</v>
      </c>
      <c r="D1189" s="13"/>
    </row>
    <row r="1190" spans="1:4" ht="51">
      <c r="A1190" s="12" t="str">
        <f ca="1">IFERROR(__xludf.DUMMYFUNCTION("""COMPUTED_VALUE"""),"УС-4-Ех (каб.вводы 3-5,3мм) 0ExiaIICT6 IP 65, Черная ПАШК.425212.050")</f>
        <v>УС-4-Ех (каб.вводы 3-5,3мм) 0ExiaIICT6 IP 65, Черная ПАШК.425212.050</v>
      </c>
      <c r="B1190" s="13" t="str">
        <f ca="1">IFERROR(__xludf.DUMMYFUNCTION("""COMPUTED_VALUE"""),"Устройство соединительное взрывозащищённое, усиленная механическая прочность, из антистатичного пластика черного цвета")</f>
        <v>Устройство соединительное взрывозащищённое, усиленная механическая прочность, из антистатичного пластика черного цвета</v>
      </c>
      <c r="C1190" s="14">
        <f ca="1">IFERROR(__xludf.DUMMYFUNCTION("""COMPUTED_VALUE"""),3846)</f>
        <v>3846</v>
      </c>
      <c r="D1190" s="13"/>
    </row>
    <row r="1191" spans="1:4" ht="63.75">
      <c r="A1191" s="12" t="str">
        <f ca="1">IFERROR(__xludf.DUMMYFUNCTION("""COMPUTED_VALUE"""),"КВСК-Ех Север"" ПЛ.8.ПС.6-12.Т31 0Ex iа IIC T6 Ga IP66/IP67 ПАШК.685552.002")</f>
        <v>КВСК-Ех Север" ПЛ.8.ПС.6-12.Т31 0Ex iа IIC T6 Ga IP66/IP67 ПАШК.685552.002</v>
      </c>
      <c r="B1191" s="13" t="str">
        <f ca="1">IFERROR(__xludf.DUMMYFUNCTION("""COMPUTED_VALUE"""),"коробка в корпусе из полистирола с пластиковыми кабельными вводами в количестве 8шт., диаметром подключаемого кабеля 6-12мм, с клеммниками Т31")</f>
        <v>коробка в корпусе из полистирола с пластиковыми кабельными вводами в количестве 8шт., диаметром подключаемого кабеля 6-12мм, с клеммниками Т31</v>
      </c>
      <c r="C1191" s="14">
        <f ca="1">IFERROR(__xludf.DUMMYFUNCTION("""COMPUTED_VALUE"""),8380.94)</f>
        <v>8380.94</v>
      </c>
      <c r="D1191" s="13"/>
    </row>
    <row r="1192" spans="1:4" ht="63.75">
      <c r="A1192" s="12" t="str">
        <f ca="1">IFERROR(__xludf.DUMMYFUNCTION("""COMPUTED_VALUE"""),"КВСК-Ех Север"" ПЛ.8.ПС.6-12.PM2 0Ex iа IIC T6 Ga IP66/IP67 ПАШК.685552.002")</f>
        <v>КВСК-Ех Север" ПЛ.8.ПС.6-12.PM2 0Ex iа IIC T6 Ga IP66/IP67 ПАШК.685552.002</v>
      </c>
      <c r="B1192" s="13" t="str">
        <f ca="1">IFERROR(__xludf.DUMMYFUNCTION("""COMPUTED_VALUE"""),"коробка в корпусе из полистирола с пластиковыми кабельными вводами в количестве 8шт., диаметром подключаемого кабеля 6-12мм, с клеммниками РМ2")</f>
        <v>коробка в корпусе из полистирола с пластиковыми кабельными вводами в количестве 8шт., диаметром подключаемого кабеля 6-12мм, с клеммниками РМ2</v>
      </c>
      <c r="C1192" s="14">
        <f ca="1">IFERROR(__xludf.DUMMYFUNCTION("""COMPUTED_VALUE"""),9815.52)</f>
        <v>9815.52</v>
      </c>
      <c r="D1192" s="13"/>
    </row>
    <row r="1193" spans="1:4" ht="63.75">
      <c r="A1193" s="12" t="str">
        <f ca="1">IFERROR(__xludf.DUMMYFUNCTION("""COMPUTED_VALUE"""),"КВСК-Ех ""Север"" ПЛ.8.ПС.11-17.Т31 0Ex iа IIC T6 Ga IP66/IP67 ПАШК.685552.002")</f>
        <v>КВСК-Ех "Север" ПЛ.8.ПС.11-17.Т31 0Ex iа IIC T6 Ga IP66/IP67 ПАШК.685552.002</v>
      </c>
      <c r="B1193" s="13" t="str">
        <f ca="1">IFERROR(__xludf.DUMMYFUNCTION("""COMPUTED_VALUE"""),"коробка в корпусе из полистирола с пластиковыми кабельными вводами в количестве 8шт., диаметром подключаемого кабеля 11-17 мм, с клеммниками Т31")</f>
        <v>коробка в корпусе из полистирола с пластиковыми кабельными вводами в количестве 8шт., диаметром подключаемого кабеля 11-17 мм, с клеммниками Т31</v>
      </c>
      <c r="C1193" s="14">
        <f ca="1">IFERROR(__xludf.DUMMYFUNCTION("""COMPUTED_VALUE"""),8564.03)</f>
        <v>8564.0300000000007</v>
      </c>
      <c r="D1193" s="13"/>
    </row>
    <row r="1194" spans="1:4" ht="63.75">
      <c r="A1194" s="12" t="str">
        <f ca="1">IFERROR(__xludf.DUMMYFUNCTION("""COMPUTED_VALUE"""),"КВСК-Ех ""Север"" ПЛ.8.ПС.11-17.РМ2 0Ex iа IIC T6 Ga IP66/IP67 ПАШК.685552.002")</f>
        <v>КВСК-Ех "Север" ПЛ.8.ПС.11-17.РМ2 0Ex iа IIC T6 Ga IP66/IP67 ПАШК.685552.002</v>
      </c>
      <c r="B1194" s="13" t="str">
        <f ca="1">IFERROR(__xludf.DUMMYFUNCTION("""COMPUTED_VALUE"""),"коробка в корпусе из полистирола с пластиковыми кабельными вводами в количестве 8шт., диаметром подключаемого кабеля 11-17 мм, с клеммниками РМ2")</f>
        <v>коробка в корпусе из полистирола с пластиковыми кабельными вводами в количестве 8шт., диаметром подключаемого кабеля 11-17 мм, с клеммниками РМ2</v>
      </c>
      <c r="C1194" s="14">
        <f ca="1">IFERROR(__xludf.DUMMYFUNCTION("""COMPUTED_VALUE"""),10004.28)</f>
        <v>10004.280000000001</v>
      </c>
      <c r="D1194" s="13"/>
    </row>
    <row r="1195" spans="1:4" ht="63.75">
      <c r="A1195" s="12" t="str">
        <f ca="1">IFERROR(__xludf.DUMMYFUNCTION("""COMPUTED_VALUE"""),"КВСК-Ех ""Север"" ПЛ.8.ПС.13-18.Т31 0Ex iа IIC T6 Ga IP66/IP67 ПАШК.685552.002")</f>
        <v>КВСК-Ех "Север" ПЛ.8.ПС.13-18.Т31 0Ex iа IIC T6 Ga IP66/IP67 ПАШК.685552.002</v>
      </c>
      <c r="B1195" s="13" t="str">
        <f ca="1">IFERROR(__xludf.DUMMYFUNCTION("""COMPUTED_VALUE"""),"коробка в корпусе из полистирола с пластиковыми кабельными вводами в количестве 8шт., диаметром подключаемого кабеля 13-18 мм, с клеммниками Т31")</f>
        <v>коробка в корпусе из полистирола с пластиковыми кабельными вводами в количестве 8шт., диаметром подключаемого кабеля 13-18 мм, с клеммниками Т31</v>
      </c>
      <c r="C1195" s="14">
        <f ca="1">IFERROR(__xludf.DUMMYFUNCTION("""COMPUTED_VALUE"""),8989.2)</f>
        <v>8989.2000000000007</v>
      </c>
      <c r="D1195" s="13"/>
    </row>
    <row r="1196" spans="1:4" ht="63.75">
      <c r="A1196" s="12" t="str">
        <f ca="1">IFERROR(__xludf.DUMMYFUNCTION("""COMPUTED_VALUE"""),"КВСК-Ех ""Север"" ПЛ.8.ПС.13-18.РМ2 0Ex iа IIC T6 Ga IP66/IP67 ПАШК.685552.002")</f>
        <v>КВСК-Ех "Север" ПЛ.8.ПС.13-18.РМ2 0Ex iа IIC T6 Ga IP66/IP67 ПАШК.685552.002</v>
      </c>
      <c r="B1196" s="13" t="str">
        <f ca="1">IFERROR(__xludf.DUMMYFUNCTION("""COMPUTED_VALUE"""),"коробка в корпусе из полистирола с пластиковыми кабельными вводами в количестве 8шт., диаметром подключаемого кабеля 13-18 мм, с клеммниками РМ2")</f>
        <v>коробка в корпусе из полистирола с пластиковыми кабельными вводами в количестве 8шт., диаметром подключаемого кабеля 13-18 мм, с клеммниками РМ2</v>
      </c>
      <c r="C1196" s="14">
        <f ca="1">IFERROR(__xludf.DUMMYFUNCTION("""COMPUTED_VALUE"""),10428)</f>
        <v>10428</v>
      </c>
      <c r="D1196" s="13"/>
    </row>
    <row r="1197" spans="1:4" ht="76.5">
      <c r="A1197" s="12" t="str">
        <f ca="1">IFERROR(__xludf.DUMMYFUNCTION("""COMPUTED_VALUE"""),"КВСК-Ех «СЕВЕР» АБС.8.МКВ М20К.6-12.РМ2 0Ex iа IIC T6 Ga IP66/IP67 ПАШК.685552.002")</f>
        <v>КВСК-Ех «СЕВЕР» АБС.8.МКВ М20К.6-12.РМ2 0Ex iа IIC T6 Ga IP66/IP67 ПАШК.685552.002</v>
      </c>
      <c r="B1197" s="13" t="str">
        <f ca="1">IFERROR(__xludf.DUMMYFUNCTION("""COMPUTED_VALUE"""),"коробка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РМ2</v>
      </c>
      <c r="C1197" s="14">
        <f ca="1">IFERROR(__xludf.DUMMYFUNCTION("""COMPUTED_VALUE"""),22718.839)</f>
        <v>22718.839</v>
      </c>
      <c r="D1197" s="13"/>
    </row>
    <row r="1198" spans="1:4" ht="76.5">
      <c r="A1198" s="12" t="str">
        <f ca="1">IFERROR(__xludf.DUMMYFUNCTION("""COMPUTED_VALUE"""),"КВСК-Ех «СЕВЕР» АБС.8.МКВ М20К.6-12.Т31 0Ex iа IIC T6 Ga IP66/IP67 ПАШК.685552.002")</f>
        <v>КВСК-Ех «СЕВЕР» АБС.8.МКВ М20К.6-12.Т31 0Ex iа IIC T6 Ga IP66/IP67 ПАШК.685552.002</v>
      </c>
      <c r="B1198" s="13" t="str">
        <f ca="1">IFERROR(__xludf.DUMMYFUNCTION("""COMPUTED_VALUE"""),"коробка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М20К (для открытой прокладки кабеля) из нержавеющей стали в количестве 8 шт., диаметром подключаемого кабеля 6-12мм, с клеммниками Т31</v>
      </c>
      <c r="C1198" s="14">
        <f ca="1">IFERROR(__xludf.DUMMYFUNCTION("""COMPUTED_VALUE"""),21462.639)</f>
        <v>21462.638999999999</v>
      </c>
      <c r="D1198" s="13"/>
    </row>
    <row r="1199" spans="1:4" ht="76.5">
      <c r="A1199" s="12" t="str">
        <f ca="1">IFERROR(__xludf.DUMMYFUNCTION("""COMPUTED_VALUE"""),"КВСК-Ех «СЕВЕР» АБС.8.МКВ М20Т1/2.6-12.РМ2 0Ex iа IIC T6 Ga IP66/IP67 ПАШК.685552.002")</f>
        <v>КВСК-Ех «СЕВЕР» АБС.8.МКВ М20Т1/2.6-12.РМ2 0Ex iа IIC T6 Ga IP66/IP67 ПАШК.685552.002</v>
      </c>
      <c r="B1199" s="13" t="str">
        <f ca="1">IFERROR(__xludf.DUMMYFUNCTION("""COMPUTED_VALUE"""),"коробка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РМ2</v>
      </c>
      <c r="C1199" s="14">
        <f ca="1">IFERROR(__xludf.DUMMYFUNCTION("""COMPUTED_VALUE"""),22715.374)</f>
        <v>22715.374</v>
      </c>
      <c r="D1199" s="13"/>
    </row>
    <row r="1200" spans="1:4" ht="76.5">
      <c r="A1200" s="12" t="str">
        <f ca="1">IFERROR(__xludf.DUMMYFUNCTION("""COMPUTED_VALUE"""),"КВСК-Ех «СЕВЕР» АБС.8.МКВ М20Т1/2.6-12.Т31 0Ex iа IIC T6 Ga IP66/IP67 ПАШК.685552.002")</f>
        <v>КВСК-Ех «СЕВЕР» АБС.8.МКВ М20Т1/2.6-12.Т31 0Ex iа IIC T6 Ga IP66/IP67 ПАШК.685552.002</v>
      </c>
      <c r="B1200" s="13" t="str">
        <f ca="1">IFERROR(__xludf.DUMMYFUNCTION("""COMPUTED_VALUE"""),"коробка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М20Т1/2 (труба с резьбой G1/2) из нержавеющей стали в количестве 8 шт., диаметром подключаемого кабеля 6-12мм, с клеммниками Т31</v>
      </c>
      <c r="C1200" s="14">
        <f ca="1">IFERROR(__xludf.DUMMYFUNCTION("""COMPUTED_VALUE"""),21462.639)</f>
        <v>21462.638999999999</v>
      </c>
      <c r="D1200" s="13"/>
    </row>
    <row r="1201" spans="1:4" ht="76.5">
      <c r="A1201" s="12" t="str">
        <f ca="1">IFERROR(__xludf.DUMMYFUNCTION("""COMPUTED_VALUE"""),"КВСК-Ех «СЕВЕР» АБС.8.МКВ М20Т3/4.6-12.РМ2 0Ex iа IIC T6 Ga IP66/IP67 ПАШК.685552.002")</f>
        <v>КВСК-Ех «СЕВЕР» АБС.8.МКВ М20Т3/4.6-12.РМ2 0Ex iа IIC T6 Ga IP66/IP67 ПАШК.685552.002</v>
      </c>
      <c r="B1201" s="13" t="str">
        <f ca="1">IFERROR(__xludf.DUMMYFUNCTION("""COMPUTED_VALUE"""),"коробка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РМ2</v>
      </c>
      <c r="C1201" s="14">
        <f ca="1">IFERROR(__xludf.DUMMYFUNCTION("""COMPUTED_VALUE"""),22715.374)</f>
        <v>22715.374</v>
      </c>
      <c r="D1201" s="13"/>
    </row>
    <row r="1202" spans="1:4" ht="76.5">
      <c r="A1202" s="12" t="str">
        <f ca="1">IFERROR(__xludf.DUMMYFUNCTION("""COMPUTED_VALUE"""),"КВСК-Ех «СЕВЕР» АБС.8.МКВ М20Т3/4.6-12.Т31 0Ex iа IIC T6 Ga IP66/IP67 ПАШК.685552.002")</f>
        <v>КВСК-Ех «СЕВЕР» АБС.8.МКВ М20Т3/4.6-12.Т31 0Ex iа IIC T6 Ga IP66/IP67 ПАШК.685552.002</v>
      </c>
      <c r="B1202" s="13" t="str">
        <f ca="1">IFERROR(__xludf.DUMMYFUNCTION("""COMPUTED_VALUE"""),"коробка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М20Т3/4 (труба с резьбой G3/4) из нержавеющей стали в количестве 8 шт., диаметром подключаемого кабеля 6-12мм, с клеммниками Т31</v>
      </c>
      <c r="C1202" s="14">
        <f ca="1">IFERROR(__xludf.DUMMYFUNCTION("""COMPUTED_VALUE"""),21462.639)</f>
        <v>21462.638999999999</v>
      </c>
      <c r="D1202" s="13"/>
    </row>
    <row r="1203" spans="1:4" ht="76.5">
      <c r="A1203" s="12" t="str">
        <f ca="1">IFERROR(__xludf.DUMMYFUNCTION("""COMPUTED_VALUE"""),"КВСК-Ех «СЕВЕР» АБС.8.МКВ М20КМ10.6-8.РМ2 0Ex iа IIC T6 Ga IP66/IP67 ПАШК.685552.002")</f>
        <v>КВСК-Ех «СЕВЕР» АБС.8.МКВ М20КМ10.6-8.РМ2 0Ex iа IIC T6 Ga IP66/IP67 ПАШК.685552.002</v>
      </c>
      <c r="B1203" s="13" t="str">
        <f ca="1">IFERROR(__xludf.DUMMYFUNCTION("""COMPUTED_VALUE"""),"коробка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РМ2")</f>
        <v>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РМ2</v>
      </c>
      <c r="C1203" s="14">
        <f ca="1">IFERROR(__xludf.DUMMYFUNCTION("""COMPUTED_VALUE"""),22715.374)</f>
        <v>22715.374</v>
      </c>
      <c r="D1203" s="13"/>
    </row>
    <row r="1204" spans="1:4" ht="76.5">
      <c r="A1204" s="12" t="str">
        <f ca="1">IFERROR(__xludf.DUMMYFUNCTION("""COMPUTED_VALUE"""),"КВСК-Ех «СЕВЕР» АБС.8.МКВ М20КМ10.6-8.Т31 0Ex iа IIC T6 Ga IP66/IP67 ПАШК.685552.002")</f>
        <v>КВСК-Ех «СЕВЕР» АБС.8.МКВ М20КМ10.6-8.Т31 0Ex iа IIC T6 Ga IP66/IP67 ПАШК.685552.002</v>
      </c>
      <c r="B1204" s="13" t="str">
        <f ca="1">IFERROR(__xludf.DUMMYFUNCTION("""COMPUTED_VALUE"""),"коробка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Т31")</f>
        <v>коробка в корпусе из ABS пластика с кабельными вводами МКВ М20КМ10 (металлорукав РЗЦ 10мм) из нержавеющей стали в количестве 8 шт., диаметром подключаемого кабеля 6-8мм, с клеммниками Т31</v>
      </c>
      <c r="C1204" s="14">
        <f ca="1">IFERROR(__xludf.DUMMYFUNCTION("""COMPUTED_VALUE"""),21464.377)</f>
        <v>21464.377</v>
      </c>
      <c r="D1204" s="13"/>
    </row>
    <row r="1205" spans="1:4" ht="76.5">
      <c r="A1205" s="12" t="str">
        <f ca="1">IFERROR(__xludf.DUMMYFUNCTION("""COMPUTED_VALUE"""),"КВСК-Ех «СЕВЕР» АБС.8.МКВ М20КМ12.6-10.РМ2 0Ex iа IIC T6 Ga IP66/IP67 ПАШК.685552.002")</f>
        <v>КВСК-Ех «СЕВЕР» АБС.8.МКВ М20КМ12.6-10.РМ2 0Ex iа IIC T6 Ga IP66/IP67 ПАШК.685552.002</v>
      </c>
      <c r="B1205" s="13" t="str">
        <f ca="1">IFERROR(__xludf.DUMMYFUNCTION("""COMPUTED_VALUE"""),"коробка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РМ2")</f>
        <v>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РМ2</v>
      </c>
      <c r="C1205" s="14">
        <f ca="1">IFERROR(__xludf.DUMMYFUNCTION("""COMPUTED_VALUE"""),22715.374)</f>
        <v>22715.374</v>
      </c>
      <c r="D1205" s="13"/>
    </row>
    <row r="1206" spans="1:4" ht="76.5">
      <c r="A1206" s="12" t="str">
        <f ca="1">IFERROR(__xludf.DUMMYFUNCTION("""COMPUTED_VALUE"""),"КВСК-Ех «СЕВЕР» АБС.8.МКВ М20КМ12.6-10.Т31 0Ex iа IIC T6 Ga IP66/IP67 ПАШК.685552.002")</f>
        <v>КВСК-Ех «СЕВЕР» АБС.8.МКВ М20КМ12.6-10.Т31 0Ex iа IIC T6 Ga IP66/IP67 ПАШК.685552.002</v>
      </c>
      <c r="B1206" s="13" t="str">
        <f ca="1">IFERROR(__xludf.DUMMYFUNCTION("""COMPUTED_VALUE"""),"коробка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Т31")</f>
        <v>коробка в корпусе из ABS пластика с кабельными вводами МКВ М20КМ12 (металлорукав РЗЦ 12мм) из нержавеющей стали в количестве 8 шт., диаметром подключаемого кабеля 6-10мм, с клеммниками Т31</v>
      </c>
      <c r="C1206" s="14">
        <f ca="1">IFERROR(__xludf.DUMMYFUNCTION("""COMPUTED_VALUE"""),21462.639)</f>
        <v>21462.638999999999</v>
      </c>
      <c r="D1206" s="13"/>
    </row>
    <row r="1207" spans="1:4" ht="76.5">
      <c r="A1207" s="12" t="str">
        <f ca="1">IFERROR(__xludf.DUMMYFUNCTION("""COMPUTED_VALUE"""),"КВСК-Ех «СЕВЕР» АБС.8.МКВ М20КМ15.6-12.РМ2 0Ex iа IIC T6 Ga IP66/IP67 ПАШК.685552.002")</f>
        <v>КВСК-Ех «СЕВЕР» АБС.8.МКВ М20КМ15.6-12.РМ2 0Ex iа IIC T6 Ga IP66/IP67 ПАШК.685552.002</v>
      </c>
      <c r="B1207" s="13" t="str">
        <f ca="1">IFERROR(__xludf.DUMMYFUNCTION("""COMPUTED_VALUE"""),"коробка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РМ2</v>
      </c>
      <c r="C1207" s="14">
        <f ca="1">IFERROR(__xludf.DUMMYFUNCTION("""COMPUTED_VALUE"""),22715.374)</f>
        <v>22715.374</v>
      </c>
      <c r="D1207" s="13"/>
    </row>
    <row r="1208" spans="1:4" ht="76.5">
      <c r="A1208" s="12" t="str">
        <f ca="1">IFERROR(__xludf.DUMMYFUNCTION("""COMPUTED_VALUE"""),"КВСК-Ех «СЕВЕР» АБС.8.МКВ М20КМ15.6-12.Т31 0Ex iа IIC T6 Ga IP66/IP67 ПАШК.685552.002")</f>
        <v>КВСК-Ех «СЕВЕР» АБС.8.МКВ М20КМ15.6-12.Т31 0Ex iа IIC T6 Ga IP66/IP67 ПАШК.685552.002</v>
      </c>
      <c r="B1208" s="13" t="str">
        <f ca="1">IFERROR(__xludf.DUMMYFUNCTION("""COMPUTED_VALUE"""),"коробка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М20КМ15 (металлорукав РЗЦ 15мм) из нержавеющей стали в количестве 8 шт., диаметром подключаемого кабеля 6-12мм, с клеммниками Т31</v>
      </c>
      <c r="C1208" s="14">
        <f ca="1">IFERROR(__xludf.DUMMYFUNCTION("""COMPUTED_VALUE"""),21464.377)</f>
        <v>21464.377</v>
      </c>
      <c r="D1208" s="13"/>
    </row>
    <row r="1209" spans="1:4" ht="76.5">
      <c r="A1209" s="12" t="str">
        <f ca="1">IFERROR(__xludf.DUMMYFUNCTION("""COMPUTED_VALUE"""),"КВСК-Ех «СЕВЕР» АБС.8.МКВ М20В.6-12.РМ2 0Ex iа IIC T6 Ga IP66/IP67 ПАШК.685552.002")</f>
        <v>КВСК-Ех «СЕВЕР» АБС.8.МКВ М20В.6-12.РМ2 0Ex iа IIC T6 Ga IP66/IP67 ПАШК.685552.002</v>
      </c>
      <c r="B1209" s="13" t="str">
        <f ca="1">IFERROR(__xludf.DUMMYFUNCTION("""COMPUTED_VALUE"""),"коробка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РМ2</v>
      </c>
      <c r="C1209" s="14">
        <f ca="1">IFERROR(__xludf.DUMMYFUNCTION("""COMPUTED_VALUE"""),22715.374)</f>
        <v>22715.374</v>
      </c>
      <c r="D1209" s="13"/>
    </row>
    <row r="1210" spans="1:4" ht="76.5">
      <c r="A1210" s="12" t="str">
        <f ca="1">IFERROR(__xludf.DUMMYFUNCTION("""COMPUTED_VALUE"""),"КВСК-Ех «СЕВЕР» АБС.8.МКВ М20В.6-12.Т31 0Ex iа IIC T6 Ga IP66/IP67 ПАШК.685552.002")</f>
        <v>КВСК-Ех «СЕВЕР» АБС.8.МКВ М20В.6-12.Т31 0Ex iа IIC T6 Ga IP66/IP67 ПАШК.685552.002</v>
      </c>
      <c r="B1210" s="13" t="str">
        <f ca="1">IFERROR(__xludf.DUMMYFUNCTION("""COMPUTED_VALUE"""),"коробка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М20Б (бронированный кабель) из нержавеющей стали в количестве 8 шт., диаметром подключаемого кабеля 6-12мм, с клеммниками Т31</v>
      </c>
      <c r="C1210" s="14">
        <f ca="1">IFERROR(__xludf.DUMMYFUNCTION("""COMPUTED_VALUE"""),21462.639)</f>
        <v>21462.638999999999</v>
      </c>
      <c r="D1210" s="13"/>
    </row>
    <row r="1211" spans="1:4" ht="89.25">
      <c r="A1211" s="12" t="str">
        <f ca="1">IFERROR(__xludf.DUMMYFUNCTION("""COMPUTED_VALUE"""),"КВСК-Ех «СЕВЕР» АБС.8.МКВ М20В2.6-12.РМ2 0Ex iа IIC T6 Ga IP66/IP67 ПАШК.685552.002")</f>
        <v>КВСК-Ех «СЕВЕР» АБС.8.МКВ М20В2.6-12.РМ2 0Ex iа IIC T6 Ga IP66/IP67 ПАШК.685552.002</v>
      </c>
      <c r="B1211" s="13" t="str">
        <f ca="1">IFERROR(__xludf.DUMMYFUNCTION("""COMPUTED_VALUE"""),"коробка в корпусе из ABS пластика с кабельными вводами МКВ М20Б (бронированный кабель с двойным уплотнением) из нержавеющей стали в количестве 8 шт., диаметром подключаемого кабеля 6-12мм, с клеммниками РМ2")</f>
        <v>коробка в корпусе из ABS пластика с кабельными вводами МКВ М20Б (бронированный кабель с двойным уплотнением) из нержавеющей стали в количестве 8 шт., диаметром подключаемого кабеля 6-12мм, с клеммниками РМ2</v>
      </c>
      <c r="C1211" s="14">
        <f ca="1">IFERROR(__xludf.DUMMYFUNCTION("""COMPUTED_VALUE"""),22715.374)</f>
        <v>22715.374</v>
      </c>
      <c r="D1211" s="13"/>
    </row>
    <row r="1212" spans="1:4" ht="89.25">
      <c r="A1212" s="12" t="str">
        <f ca="1">IFERROR(__xludf.DUMMYFUNCTION("""COMPUTED_VALUE"""),"КВСК-Ех «СЕВЕР» АБС.8.МКВ М20В2.6-12.Т31 0Ex iа IIC T6 Ga IP66/IP67 ПАШК.685552.002")</f>
        <v>КВСК-Ех «СЕВЕР» АБС.8.МКВ М20В2.6-12.Т31 0Ex iа IIC T6 Ga IP66/IP67 ПАШК.685552.002</v>
      </c>
      <c r="B1212" s="13" t="str">
        <f ca="1">IFERROR(__xludf.DUMMYFUNCTION("""COMPUTED_VALUE"""),"коробка в корпусе из ABS пластика с кабельными вводами МКВ М20В (бронированный кабель с двойным уплотнением) из нержавеющей стали в количестве 8 шт., диаметром подключаемого кабеля 6-12мм, с клеммниками Т31")</f>
        <v>коробка в корпусе из ABS пластика с кабельными вводами МКВ М20В (бронированный кабель с двойным уплотнением) из нержавеющей стали в количестве 8 шт., диаметром подключаемого кабеля 6-12мм, с клеммниками Т31</v>
      </c>
      <c r="C1212" s="14">
        <f ca="1">IFERROR(__xludf.DUMMYFUNCTION("""COMPUTED_VALUE"""),21462.639)</f>
        <v>21462.638999999999</v>
      </c>
      <c r="D1212" s="13"/>
    </row>
    <row r="1213" spans="1:4" ht="76.5">
      <c r="A1213" s="12" t="str">
        <f ca="1">IFERROR(__xludf.DUMMYFUNCTION("""COMPUTED_VALUE"""),"КВСК-Ех «СЕВЕР» АБС.8.МКВ М25К.10-14.РМ2 0Ex iа IIC T6 Ga IP66/IP67 ПАШК.685552.002")</f>
        <v>КВСК-Ех «СЕВЕР» АБС.8.МКВ М25К.10-14.РМ2 0Ex iа IIC T6 Ga IP66/IP67 ПАШК.685552.002</v>
      </c>
      <c r="B1213" s="13" t="str">
        <f ca="1">IFERROR(__xludf.DUMMYFUNCTION("""COMPUTED_VALUE"""),"коробка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РМ2</v>
      </c>
      <c r="C1213" s="14">
        <f ca="1">IFERROR(__xludf.DUMMYFUNCTION("""COMPUTED_VALUE"""),22715.374)</f>
        <v>22715.374</v>
      </c>
      <c r="D1213" s="13"/>
    </row>
    <row r="1214" spans="1:4" ht="76.5">
      <c r="A1214" s="12" t="str">
        <f ca="1">IFERROR(__xludf.DUMMYFUNCTION("""COMPUTED_VALUE"""),"КВСК-Ех «СЕВЕР» АБС.8.МКВ М25К.10-14.Т31 0Ex iа IIC T6 Ga IP66/IP67 ПАШК.685552.002")</f>
        <v>КВСК-Ех «СЕВЕР» АБС.8.МКВ М25К.10-14.Т31 0Ex iа IIC T6 Ga IP66/IP67 ПАШК.685552.002</v>
      </c>
      <c r="B1214" s="13" t="str">
        <f ca="1">IFERROR(__xludf.DUMMYFUNCTION("""COMPUTED_VALUE"""),"коробка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М25К (для открытой прокладки кабеля) из нержавеющей стали в количестве 8 шт., диаметром подключаемого кабеля 10-14мм, с клеммниками Т31</v>
      </c>
      <c r="C1214" s="14">
        <f ca="1">IFERROR(__xludf.DUMMYFUNCTION("""COMPUTED_VALUE"""),21462.639)</f>
        <v>21462.638999999999</v>
      </c>
      <c r="D1214" s="13"/>
    </row>
    <row r="1215" spans="1:4" ht="76.5">
      <c r="A1215" s="12" t="str">
        <f ca="1">IFERROR(__xludf.DUMMYFUNCTION("""COMPUTED_VALUE"""),"КВСК-Ех «СЕВЕР» АБС.8.МКВ М25Т3/4.10-14.РМ2 0Ex iа IIC T6 Ga IP66/IP67 ПАШК.685552.002")</f>
        <v>КВСК-Ех «СЕВЕР» АБС.8.МКВ М25Т3/4.10-14.РМ2 0Ex iа IIC T6 Ga IP66/IP67 ПАШК.685552.002</v>
      </c>
      <c r="B1215" s="13" t="str">
        <f ca="1">IFERROR(__xludf.DUMMYFUNCTION("""COMPUTED_VALUE"""),"коробка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РМ2</v>
      </c>
      <c r="C1215" s="14">
        <f ca="1">IFERROR(__xludf.DUMMYFUNCTION("""COMPUTED_VALUE"""),22715.374)</f>
        <v>22715.374</v>
      </c>
      <c r="D1215" s="13"/>
    </row>
    <row r="1216" spans="1:4" ht="76.5">
      <c r="A1216" s="12" t="str">
        <f ca="1">IFERROR(__xludf.DUMMYFUNCTION("""COMPUTED_VALUE"""),"КВСК-Ех «СЕВЕР» АБС.8.МКВ М25Т3/4.10-14.Т31 0Ex iа IIC T6 Ga IP66/IP67 ПАШК.685552.002")</f>
        <v>КВСК-Ех «СЕВЕР» АБС.8.МКВ М25Т3/4.10-14.Т31 0Ex iа IIC T6 Ga IP66/IP67 ПАШК.685552.002</v>
      </c>
      <c r="B1216" s="13" t="str">
        <f ca="1">IFERROR(__xludf.DUMMYFUNCTION("""COMPUTED_VALUE"""),"коробка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М25Т3/4 (труба с резьбой G3/4) из нержавеющей стали в количестве 8 шт., диаметром подключаемого кабеля 10-14мм, с клеммниками Т31</v>
      </c>
      <c r="C1216" s="14">
        <f ca="1">IFERROR(__xludf.DUMMYFUNCTION("""COMPUTED_VALUE"""),21464.377)</f>
        <v>21464.377</v>
      </c>
      <c r="D1216" s="13"/>
    </row>
    <row r="1217" spans="1:4" ht="76.5">
      <c r="A1217" s="12" t="str">
        <f ca="1">IFERROR(__xludf.DUMMYFUNCTION("""COMPUTED_VALUE"""),"КВСК-Ех «СЕВЕР» АБС.8.МКВ М25КМ20.10-14.РМ2 0Ex iа IIC T6 Ga IP66/IP67 ПАШК.685552.002")</f>
        <v>КВСК-Ех «СЕВЕР» АБС.8.МКВ М25КМ20.10-14.РМ2 0Ex iа IIC T6 Ga IP66/IP67 ПАШК.685552.002</v>
      </c>
      <c r="B1217" s="13" t="str">
        <f ca="1">IFERROR(__xludf.DUMMYFUNCTION("""COMPUTED_VALUE"""),"коробка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РМ2")</f>
        <v>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РМ2</v>
      </c>
      <c r="C1217" s="14">
        <f ca="1">IFERROR(__xludf.DUMMYFUNCTION("""COMPUTED_VALUE"""),22715.374)</f>
        <v>22715.374</v>
      </c>
      <c r="D1217" s="13"/>
    </row>
    <row r="1218" spans="1:4" ht="76.5">
      <c r="A1218" s="12" t="str">
        <f ca="1">IFERROR(__xludf.DUMMYFUNCTION("""COMPUTED_VALUE"""),"КВСК-Ех «СЕВЕР» АБС.8.МКВ М25КМ20.10-14.Т31 0Ex iа IIC T6 Ga IP66/IP67 ПАШК.685552.002")</f>
        <v>КВСК-Ех «СЕВЕР» АБС.8.МКВ М25КМ20.10-14.Т31 0Ex iа IIC T6 Ga IP66/IP67 ПАШК.685552.002</v>
      </c>
      <c r="B1218" s="13" t="str">
        <f ca="1">IFERROR(__xludf.DUMMYFUNCTION("""COMPUTED_VALUE"""),"коробка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Т31")</f>
        <v>коробка в корпусе из ABS пластика с кабельными вводами МКВ М25КМ20 (металлорукав РЗЦ 20мм) из нержавеющей стали в количестве 8 шт., диаметром подключаемого кабеля 10-14 мм, с клеммниками Т31</v>
      </c>
      <c r="C1218" s="14">
        <f ca="1">IFERROR(__xludf.DUMMYFUNCTION("""COMPUTED_VALUE"""),21464.377)</f>
        <v>21464.377</v>
      </c>
      <c r="D1218" s="13"/>
    </row>
    <row r="1219" spans="1:4" ht="76.5">
      <c r="A1219" s="12" t="str">
        <f ca="1">IFERROR(__xludf.DUMMYFUNCTION("""COMPUTED_VALUE"""),"КВСК-Ех «СЕВЕР» АБС.8.МКВ М25КМ25.10-14.РМ2 0Ex iа IIC T6 Ga IP66/IP67 ПАШК.685552.002")</f>
        <v>КВСК-Ех «СЕВЕР» АБС.8.МКВ М25КМ25.10-14.РМ2 0Ex iа IIC T6 Ga IP66/IP67 ПАШК.685552.002</v>
      </c>
      <c r="B1219" s="13" t="str">
        <f ca="1">IFERROR(__xludf.DUMMYFUNCTION("""COMPUTED_VALUE"""),"коробка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РМ2")</f>
        <v>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РМ2</v>
      </c>
      <c r="C1219" s="14">
        <f ca="1">IFERROR(__xludf.DUMMYFUNCTION("""COMPUTED_VALUE"""),22715.374)</f>
        <v>22715.374</v>
      </c>
      <c r="D1219" s="13"/>
    </row>
    <row r="1220" spans="1:4" ht="76.5">
      <c r="A1220" s="12" t="str">
        <f ca="1">IFERROR(__xludf.DUMMYFUNCTION("""COMPUTED_VALUE"""),"КВСК-Ех «СЕВЕР» АБС.8.МКВ М25КМ25.10-14.Т31 0Ex iа IIC T6 Ga IP66/IP67 ПАШК.685552.002")</f>
        <v>КВСК-Ех «СЕВЕР» АБС.8.МКВ М25КМ25.10-14.Т31 0Ex iа IIC T6 Ga IP66/IP67 ПАШК.685552.002</v>
      </c>
      <c r="B1220" s="13" t="str">
        <f ca="1">IFERROR(__xludf.DUMMYFUNCTION("""COMPUTED_VALUE"""),"коробка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Т31")</f>
        <v>коробка в корпусе из ABS пластика с кабельными вводами МКВ М25КМ25 (металлорукав РЗЦ 25мм) из нержавеющей стали в количестве 8 шт., диаметром подключаемого кабеля 10-14 мм, с клеммниками Т31</v>
      </c>
      <c r="C1220" s="14">
        <f ca="1">IFERROR(__xludf.DUMMYFUNCTION("""COMPUTED_VALUE"""),21464.377)</f>
        <v>21464.377</v>
      </c>
      <c r="D1220" s="13"/>
    </row>
    <row r="1221" spans="1:4" ht="76.5">
      <c r="A1221" s="12" t="str">
        <f ca="1">IFERROR(__xludf.DUMMYFUNCTION("""COMPUTED_VALUE"""),"КВСК-Ех «СЕВЕР» АБС.8.МКВ М25В.10-14.РМ2 0Ex iа IIC T6 Ga IP66/IP67 ПАШК.685552.002")</f>
        <v>КВСК-Ех «СЕВЕР» АБС.8.МКВ М25В.10-14.РМ2 0Ex iа IIC T6 Ga IP66/IP67 ПАШК.685552.002</v>
      </c>
      <c r="B1221" s="13" t="str">
        <f ca="1">IFERROR(__xludf.DUMMYFUNCTION("""COMPUTED_VALUE"""),"коробка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РМ2</v>
      </c>
      <c r="C1221" s="14">
        <f ca="1">IFERROR(__xludf.DUMMYFUNCTION("""COMPUTED_VALUE"""),22715.374)</f>
        <v>22715.374</v>
      </c>
      <c r="D1221" s="13"/>
    </row>
    <row r="1222" spans="1:4" ht="76.5">
      <c r="A1222" s="12" t="str">
        <f ca="1">IFERROR(__xludf.DUMMYFUNCTION("""COMPUTED_VALUE"""),"КВСК-Ех «СЕВЕР» АБС.8.МКВ М25В.10-14.Т31 0Ex iа IIC T6 Ga IP66/IP67 ПАШК.685552.002")</f>
        <v>КВСК-Ех «СЕВЕР» АБС.8.МКВ М25В.10-14.Т31 0Ex iа IIC T6 Ga IP66/IP67 ПАШК.685552.002</v>
      </c>
      <c r="B1222" s="13" t="str">
        <f ca="1">IFERROR(__xludf.DUMMYFUNCTION("""COMPUTED_VALUE"""),"коробка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М25Б (бронированный кабель) из нержавеющей стали в количестве 8 шт., диаметром подключаемого кабеля 10-14мм, с клеммниками Т31</v>
      </c>
      <c r="C1222" s="14">
        <f ca="1">IFERROR(__xludf.DUMMYFUNCTION("""COMPUTED_VALUE"""),21464.377)</f>
        <v>21464.377</v>
      </c>
      <c r="D1222" s="13"/>
    </row>
    <row r="1223" spans="1:4" ht="89.25">
      <c r="A1223" s="12" t="str">
        <f ca="1">IFERROR(__xludf.DUMMYFUNCTION("""COMPUTED_VALUE"""),"КВСК-Ех «СЕВЕР» АБС.8.МКВ М25В2.10-14.РМ2 0Ex iа IIC T6 Ga IP66/IP67 ПАШК.685552.002")</f>
        <v>КВСК-Ех «СЕВЕР» АБС.8.МКВ М25В2.10-14.РМ2 0Ex iа IIC T6 Ga IP66/IP67 ПАШК.685552.002</v>
      </c>
      <c r="B1223" s="13" t="str">
        <f ca="1">IFERROR(__xludf.DUMMYFUNCTION("""COMPUTED_VALUE"""),"коробка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РМ2")</f>
        <v>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РМ2</v>
      </c>
      <c r="C1223" s="14">
        <f ca="1">IFERROR(__xludf.DUMMYFUNCTION("""COMPUTED_VALUE"""),22715.374)</f>
        <v>22715.374</v>
      </c>
      <c r="D1223" s="13"/>
    </row>
    <row r="1224" spans="1:4" ht="89.25">
      <c r="A1224" s="12" t="str">
        <f ca="1">IFERROR(__xludf.DUMMYFUNCTION("""COMPUTED_VALUE"""),"КВСК-Ех «СЕВЕР» АБС.8.МКВ М25В2.10-14.Т31 0Ex iа IIC T6 Ga IP66/IP67 ПАШК.685552.002")</f>
        <v>КВСК-Ех «СЕВЕР» АБС.8.МКВ М25В2.10-14.Т31 0Ex iа IIC T6 Ga IP66/IP67 ПАШК.685552.002</v>
      </c>
      <c r="B1224" s="13" t="str">
        <f ca="1">IFERROR(__xludf.DUMMYFUNCTION("""COMPUTED_VALUE"""),"коробка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Т31")</f>
        <v>коробка в корпусе из ABS пластика с кабельными вводами МКВ М25Б2 (бронированный кабель с двойным уплотнением) ) из нержавеющей стали в количестве 8 шт., диаметром подключаемого кабеля 10-14мм, с клеммниками Т31</v>
      </c>
      <c r="C1224" s="14">
        <f ca="1">IFERROR(__xludf.DUMMYFUNCTION("""COMPUTED_VALUE"""),21464.377)</f>
        <v>21464.377</v>
      </c>
      <c r="D1224" s="13"/>
    </row>
    <row r="1225" spans="1:4" ht="38.25">
      <c r="A1225" s="12" t="str">
        <f ca="1">IFERROR(__xludf.DUMMYFUNCTION("""COMPUTED_VALUE"""),"УСБ-Ех""СЕВЕР""ПЛ.2.МТ.6-12.РМ2 0ExiaIICT6 ")</f>
        <v xml:space="preserve">УСБ-Ех"СЕВЕР"ПЛ.2.МТ.6-12.РМ2 0ExiaIICT6 </v>
      </c>
      <c r="B1225" s="13" t="str">
        <f ca="1">IFERROR(__xludf.DUMMYFUNCTION("""COMPUTED_VALUE"""),"Устройство в корпусе из антистатичного пластика, 2 металлических кабельных ввода (6-12), тип клеммников - РМ2")</f>
        <v>Устройство в корпусе из антистатичного пластика, 2 металлических кабельных ввода (6-12), тип клеммников - РМ2</v>
      </c>
      <c r="C1225" s="14">
        <f ca="1">IFERROR(__xludf.DUMMYFUNCTION("""COMPUTED_VALUE"""),9003.85)</f>
        <v>9003.85</v>
      </c>
      <c r="D1225" s="13"/>
    </row>
    <row r="1226" spans="1:4" ht="38.25">
      <c r="A1226" s="12" t="str">
        <f ca="1">IFERROR(__xludf.DUMMYFUNCTION("""COMPUTED_VALUE"""),"УСБ-Ех""СЕВЕР""ПЛ.2.МТ.6-12.Т31 0ExiaIICT6 ")</f>
        <v xml:space="preserve">УСБ-Ех"СЕВЕР"ПЛ.2.МТ.6-12.Т31 0ExiaIICT6 </v>
      </c>
      <c r="B1226" s="13" t="str">
        <f ca="1">IFERROR(__xludf.DUMMYFUNCTION("""COMPUTED_VALUE"""),"Устройство в корпусе из антистатичного пластика, 2 металлических кабельных ввода (6-12), тип клеммников - Т31")</f>
        <v>Устройство в корпусе из антистатичного пластика, 2 металлических кабельных ввода (6-12), тип клеммников - Т31</v>
      </c>
      <c r="C1226" s="14">
        <f ca="1">IFERROR(__xludf.DUMMYFUNCTION("""COMPUTED_VALUE"""),8883.05)</f>
        <v>8883.0499999999993</v>
      </c>
      <c r="D1226" s="13"/>
    </row>
    <row r="1227" spans="1:4" ht="38.25">
      <c r="A1227" s="12" t="str">
        <f ca="1">IFERROR(__xludf.DUMMYFUNCTION("""COMPUTED_VALUE"""),"УСБ-Ех""СЕВЕР""ПЛ.2.МТ.6-12.DG3 0ExiaIICT6")</f>
        <v>УСБ-Ех"СЕВЕР"ПЛ.2.МТ.6-12.DG3 0ExiaIICT6</v>
      </c>
      <c r="B1227" s="13" t="str">
        <f ca="1">IFERROR(__xludf.DUMMYFUNCTION("""COMPUTED_VALUE"""),"Устройство в корпусе из антистатичного пластика, 2 металлических кабельных ввода (6-12), тип клеммников - DG3")</f>
        <v>Устройство в корпусе из антистатичного пластика, 2 металлических кабельных ввода (6-12), тип клеммников - DG3</v>
      </c>
      <c r="C1227" s="14">
        <f ca="1">IFERROR(__xludf.DUMMYFUNCTION("""COMPUTED_VALUE"""),8352.64)</f>
        <v>8352.64</v>
      </c>
      <c r="D1227" s="13"/>
    </row>
    <row r="1228" spans="1:4" ht="38.25">
      <c r="A1228" s="12" t="str">
        <f ca="1">IFERROR(__xludf.DUMMYFUNCTION("""COMPUTED_VALUE"""),"УСБ-Ех""СЕВЕР""ПЛ.4.МТ.6-12.РМ2 0ExiaIICT6 ")</f>
        <v xml:space="preserve">УСБ-Ех"СЕВЕР"ПЛ.4.МТ.6-12.РМ2 0ExiaIICT6 </v>
      </c>
      <c r="B1228" s="13" t="str">
        <f ca="1">IFERROR(__xludf.DUMMYFUNCTION("""COMPUTED_VALUE"""),"Устройство в корпусе из антистатичного пластика, 4 металлических кабельных ввода (6-12), тип клеммников - РМ2")</f>
        <v>Устройство в корпусе из антистатичного пластика, 4 металлических кабельных ввода (6-12), тип клеммников - РМ2</v>
      </c>
      <c r="C1228" s="14">
        <f ca="1">IFERROR(__xludf.DUMMYFUNCTION("""COMPUTED_VALUE"""),13189.8)</f>
        <v>13189.8</v>
      </c>
      <c r="D1228" s="13"/>
    </row>
    <row r="1229" spans="1:4" ht="38.25">
      <c r="A1229" s="12" t="str">
        <f ca="1">IFERROR(__xludf.DUMMYFUNCTION("""COMPUTED_VALUE"""),"УСБ-Ех""СЕВЕР""ПЛ.4.МТ.6-12.Т31 0ExiaIICT6 ")</f>
        <v xml:space="preserve">УСБ-Ех"СЕВЕР"ПЛ.4.МТ.6-12.Т31 0ExiaIICT6 </v>
      </c>
      <c r="B1229" s="13" t="str">
        <f ca="1">IFERROR(__xludf.DUMMYFUNCTION("""COMPUTED_VALUE"""),"Устройство в корпусе из антистатичного пластика, 4 металлических кабельных ввода (6-12), тип клеммников - T31")</f>
        <v>Устройство в корпусе из антистатичного пластика, 4 металлических кабельных ввода (6-12), тип клеммников - T31</v>
      </c>
      <c r="C1229" s="14">
        <f ca="1">IFERROR(__xludf.DUMMYFUNCTION("""COMPUTED_VALUE"""),13052.76)</f>
        <v>13052.76</v>
      </c>
      <c r="D1229" s="13"/>
    </row>
    <row r="1230" spans="1:4" ht="38.25">
      <c r="A1230" s="12" t="str">
        <f ca="1">IFERROR(__xludf.DUMMYFUNCTION("""COMPUTED_VALUE"""),"УСБ-Ех""СЕВЕР""ПЛ.4.МТ.6-12.DG3 0ExiaIICT6 ")</f>
        <v xml:space="preserve">УСБ-Ех"СЕВЕР"ПЛ.4.МТ.6-12.DG3 0ExiaIICT6 </v>
      </c>
      <c r="B1230" s="13" t="str">
        <f ca="1">IFERROR(__xludf.DUMMYFUNCTION("""COMPUTED_VALUE"""),"Устройство в корпусе из антистатичного пластика, 4 металлических кабельных ввода (6-12), тип клеммников - DG3")</f>
        <v>Устройство в корпусе из антистатичного пластика, 4 металлических кабельных ввода (6-12), тип клеммников - DG3</v>
      </c>
      <c r="C1230" s="14">
        <f ca="1">IFERROR(__xludf.DUMMYFUNCTION("""COMPUTED_VALUE"""),12578.22)</f>
        <v>12578.22</v>
      </c>
      <c r="D1230" s="13"/>
    </row>
    <row r="1231" spans="1:4" ht="38.25">
      <c r="A1231" s="12" t="str">
        <f ca="1">IFERROR(__xludf.DUMMYFUNCTION("""COMPUTED_VALUE"""),"УСБ-Ех""СЕВЕР""ПЛ.6.МТ.6-12.РМ2 0ExiaIICT6 ")</f>
        <v xml:space="preserve">УСБ-Ех"СЕВЕР"ПЛ.6.МТ.6-12.РМ2 0ExiaIICT6 </v>
      </c>
      <c r="B1231" s="13" t="str">
        <f ca="1">IFERROR(__xludf.DUMMYFUNCTION("""COMPUTED_VALUE"""),"Устройство в корпусе из антистатичного пластика, 6 металлических кабельных вводов (6-12), тип клеммников - РМ2")</f>
        <v>Устройство в корпусе из антистатичного пластика, 6 металлических кабельных вводов (6-12), тип клеммников - РМ2</v>
      </c>
      <c r="C1231" s="14">
        <f ca="1">IFERROR(__xludf.DUMMYFUNCTION("""COMPUTED_VALUE"""),18286.32)</f>
        <v>18286.32</v>
      </c>
      <c r="D1231" s="13"/>
    </row>
    <row r="1232" spans="1:4" ht="38.25">
      <c r="A1232" s="12" t="str">
        <f ca="1">IFERROR(__xludf.DUMMYFUNCTION("""COMPUTED_VALUE"""),"УСБ-Ех""СЕВЕР""ПЛ.6.МТ.6-12.Т31 0ExiaIICT6 ")</f>
        <v xml:space="preserve">УСБ-Ех"СЕВЕР"ПЛ.6.МТ.6-12.Т31 0ExiaIICT6 </v>
      </c>
      <c r="B1232" s="13" t="str">
        <f ca="1">IFERROR(__xludf.DUMMYFUNCTION("""COMPUTED_VALUE"""),"Устройство в корпусе из антистатичного пластика, 6 металлических кабельных вводов (6-12), тип клеммников - T31")</f>
        <v>Устройство в корпусе из антистатичного пластика, 6 металлических кабельных вводов (6-12), тип клеммников - T31</v>
      </c>
      <c r="C1232" s="14">
        <f ca="1">IFERROR(__xludf.DUMMYFUNCTION("""COMPUTED_VALUE"""),18143.62)</f>
        <v>18143.62</v>
      </c>
      <c r="D1232" s="13"/>
    </row>
    <row r="1233" spans="1:4" ht="38.25">
      <c r="A1233" s="12" t="str">
        <f ca="1">IFERROR(__xludf.DUMMYFUNCTION("""COMPUTED_VALUE"""),"УСБ-Ех""СЕВЕР""ПЛ.6.МТ.6-12.DG3 0ExiaIICT6 ")</f>
        <v xml:space="preserve">УСБ-Ех"СЕВЕР"ПЛ.6.МТ.6-12.DG3 0ExiaIICT6 </v>
      </c>
      <c r="B1233" s="13" t="str">
        <f ca="1">IFERROR(__xludf.DUMMYFUNCTION("""COMPUTED_VALUE"""),"Устройство в корпусе из антистатичного пластика, 6 металлических кабельных вводов (6-12), тип клеммников - DG3")</f>
        <v>Устройство в корпусе из антистатичного пластика, 6 металлических кабельных вводов (6-12), тип клеммников - DG3</v>
      </c>
      <c r="C1233" s="14">
        <f ca="1">IFERROR(__xludf.DUMMYFUNCTION("""COMPUTED_VALUE"""),17700.02)</f>
        <v>17700.02</v>
      </c>
      <c r="D1233" s="13"/>
    </row>
    <row r="1234" spans="1:4" ht="38.25">
      <c r="A1234" s="12" t="str">
        <f ca="1">IFERROR(__xludf.DUMMYFUNCTION("""COMPUTED_VALUE"""),"УСБ-Ех""СЕВЕР""ПЛ.2.ПС.6-12.РМ2 0ExiaIICT6 ")</f>
        <v xml:space="preserve">УСБ-Ех"СЕВЕР"ПЛ.2.ПС.6-12.РМ2 0ExiaIICT6 </v>
      </c>
      <c r="B1234" s="13" t="str">
        <f ca="1">IFERROR(__xludf.DUMMYFUNCTION("""COMPUTED_VALUE"""),"Устройство в корпусе из антистатичного пластика, 2 пластиковых кабельных ввода (6-12), тип клеммников - РМ2")</f>
        <v>Устройство в корпусе из антистатичного пластика, 2 пластиковых кабельных ввода (6-12), тип клеммников - РМ2</v>
      </c>
      <c r="C1234" s="14">
        <f ca="1">IFERROR(__xludf.DUMMYFUNCTION("""COMPUTED_VALUE"""),2178)</f>
        <v>2178</v>
      </c>
      <c r="D1234" s="13"/>
    </row>
    <row r="1235" spans="1:4" ht="38.25">
      <c r="A1235" s="12" t="str">
        <f ca="1">IFERROR(__xludf.DUMMYFUNCTION("""COMPUTED_VALUE"""),"УСБ-Ех""СЕВЕР""ПЛ.2.ПС.13-18.РМ2 0ExiaIICT6 ")</f>
        <v xml:space="preserve">УСБ-Ех"СЕВЕР"ПЛ.2.ПС.13-18.РМ2 0ExiaIICT6 </v>
      </c>
      <c r="B1235" s="13" t="str">
        <f ca="1">IFERROR(__xludf.DUMMYFUNCTION("""COMPUTED_VALUE"""),"Устройство в корпусе из антистатичного пластика, 2 пластиковых кабельных ввода (11-17), тип клеммников - РМ2")</f>
        <v>Устройство в корпусе из антистатичного пластика, 2 пластиковых кабельных ввода (11-17), тип клеммников - РМ2</v>
      </c>
      <c r="C1235" s="14">
        <f ca="1">IFERROR(__xludf.DUMMYFUNCTION("""COMPUTED_VALUE"""),2178)</f>
        <v>2178</v>
      </c>
      <c r="D1235" s="13"/>
    </row>
    <row r="1236" spans="1:4" ht="38.25">
      <c r="A1236" s="12" t="str">
        <f ca="1">IFERROR(__xludf.DUMMYFUNCTION("""COMPUTED_VALUE"""),"УСБ-Ех""СЕВЕР"" ПЛ.2.ПС.6-12.Т31 0ExiaIICT6")</f>
        <v>УСБ-Ех"СЕВЕР" ПЛ.2.ПС.6-12.Т31 0ExiaIICT6</v>
      </c>
      <c r="B1236" s="13" t="str">
        <f ca="1">IFERROR(__xludf.DUMMYFUNCTION("""COMPUTED_VALUE"""),"Устройство в корпусе из антистатичного пластика, 2 пластиковых кабельных ввода (6-12), тип клеммников - Т31")</f>
        <v>Устройство в корпусе из антистатичного пластика, 2 пластиковых кабельных ввода (6-12), тип клеммников - Т31</v>
      </c>
      <c r="C1236" s="14">
        <f ca="1">IFERROR(__xludf.DUMMYFUNCTION("""COMPUTED_VALUE"""),2057)</f>
        <v>2057</v>
      </c>
      <c r="D1236" s="13"/>
    </row>
    <row r="1237" spans="1:4" ht="38.25">
      <c r="A1237" s="12" t="str">
        <f ca="1">IFERROR(__xludf.DUMMYFUNCTION("""COMPUTED_VALUE"""),"УСБ-Ех""СЕВЕР""ПЛ.2.ПС.13-18.Т31 0ExiaIICT6 ")</f>
        <v xml:space="preserve">УСБ-Ех"СЕВЕР"ПЛ.2.ПС.13-18.Т31 0ExiaIICT6 </v>
      </c>
      <c r="B1237" s="13" t="str">
        <f ca="1">IFERROR(__xludf.DUMMYFUNCTION("""COMPUTED_VALUE"""),"Устройство в корпусе из антистатичного пластика, 2 пластиковых кабельных ввода (11-17), тип клеммников - Т31")</f>
        <v>Устройство в корпусе из антистатичного пластика, 2 пластиковых кабельных ввода (11-17), тип клеммников - Т31</v>
      </c>
      <c r="C1237" s="14">
        <f ca="1">IFERROR(__xludf.DUMMYFUNCTION("""COMPUTED_VALUE"""),2057)</f>
        <v>2057</v>
      </c>
      <c r="D1237" s="13"/>
    </row>
    <row r="1238" spans="1:4" ht="38.25">
      <c r="A1238" s="12" t="str">
        <f ca="1">IFERROR(__xludf.DUMMYFUNCTION("""COMPUTED_VALUE"""),"УСБ-Ех""СЕВЕР""ПЛ.2.ПС.6-12.DG3 0ExiaIICT6 ")</f>
        <v xml:space="preserve">УСБ-Ех"СЕВЕР"ПЛ.2.ПС.6-12.DG3 0ExiaIICT6 </v>
      </c>
      <c r="B1238" s="13" t="str">
        <f ca="1">IFERROR(__xludf.DUMMYFUNCTION("""COMPUTED_VALUE"""),"Устройство в корпусе из антистатичного пластика, 2 пластиковых кабельных ввода (6-12), тип клеммников - DG3")</f>
        <v>Устройство в корпусе из антистатичного пластика, 2 пластиковых кабельных ввода (6-12), тип клеммников - DG3</v>
      </c>
      <c r="C1238" s="14">
        <f ca="1">IFERROR(__xludf.DUMMYFUNCTION("""COMPUTED_VALUE"""),1718.2)</f>
        <v>1718.2</v>
      </c>
      <c r="D1238" s="13"/>
    </row>
    <row r="1239" spans="1:4" ht="38.25">
      <c r="A1239" s="12" t="str">
        <f ca="1">IFERROR(__xludf.DUMMYFUNCTION("""COMPUTED_VALUE"""),"УСБ-Ех""СЕВЕР""ПЛ.2.ПС.13-18. DG3 0ExiaIICT6 ")</f>
        <v xml:space="preserve">УСБ-Ех"СЕВЕР"ПЛ.2.ПС.13-18. DG3 0ExiaIICT6 </v>
      </c>
      <c r="B1239" s="13" t="str">
        <f ca="1">IFERROR(__xludf.DUMMYFUNCTION("""COMPUTED_VALUE"""),"Устройство в корпусе из антистатичного пластика, 2 пластиковых кабельных ввода (11-17), тип клеммников - DG3")</f>
        <v>Устройство в корпусе из антистатичного пластика, 2 пластиковых кабельных ввода (11-17), тип клеммников - DG3</v>
      </c>
      <c r="C1239" s="14">
        <f ca="1">IFERROR(__xludf.DUMMYFUNCTION("""COMPUTED_VALUE"""),1718.2)</f>
        <v>1718.2</v>
      </c>
      <c r="D1239" s="13"/>
    </row>
    <row r="1240" spans="1:4" ht="38.25">
      <c r="A1240" s="12" t="str">
        <f ca="1">IFERROR(__xludf.DUMMYFUNCTION("""COMPUTED_VALUE"""),"УСБ-Ех""СЕВЕР""ПЛ.4.ПС.6-12.РМ2 0ExiaIICT6")</f>
        <v>УСБ-Ех"СЕВЕР"ПЛ.4.ПС.6-12.РМ2 0ExiaIICT6</v>
      </c>
      <c r="B1240" s="13" t="str">
        <f ca="1">IFERROR(__xludf.DUMMYFUNCTION("""COMPUTED_VALUE"""),"Устройство в корпусе из антистатичного пластика, 4 пластиковых кабельных ввода (6-12), тип клеммников - РМ2")</f>
        <v>Устройство в корпусе из антистатичного пластика, 4 пластиковых кабельных ввода (6-12), тип клеммников - РМ2</v>
      </c>
      <c r="C1240" s="14">
        <f ca="1">IFERROR(__xludf.DUMMYFUNCTION("""COMPUTED_VALUE"""),2299)</f>
        <v>2299</v>
      </c>
      <c r="D1240" s="13"/>
    </row>
    <row r="1241" spans="1:4" ht="38.25">
      <c r="A1241" s="12" t="str">
        <f ca="1">IFERROR(__xludf.DUMMYFUNCTION("""COMPUTED_VALUE"""),"УСБ-Ех""СЕВЕР""ПЛ.4.ПС.13-18.РМ2 0ExiaIICT6 ")</f>
        <v xml:space="preserve">УСБ-Ех"СЕВЕР"ПЛ.4.ПС.13-18.РМ2 0ExiaIICT6 </v>
      </c>
      <c r="B1241" s="13" t="str">
        <f ca="1">IFERROR(__xludf.DUMMYFUNCTION("""COMPUTED_VALUE"""),"Устройство в корпусе из антистатичного пластика, 4 пластиковых кабельных ввода (11-17), тип клеммников - РМ3")</f>
        <v>Устройство в корпусе из антистатичного пластика, 4 пластиковых кабельных ввода (11-17), тип клеммников - РМ3</v>
      </c>
      <c r="C1241" s="14">
        <f ca="1">IFERROR(__xludf.DUMMYFUNCTION("""COMPUTED_VALUE"""),2299)</f>
        <v>2299</v>
      </c>
      <c r="D1241" s="13"/>
    </row>
    <row r="1242" spans="1:4" ht="38.25">
      <c r="A1242" s="12" t="str">
        <f ca="1">IFERROR(__xludf.DUMMYFUNCTION("""COMPUTED_VALUE"""),"УСБ-Ех""СЕВЕР""ПЛ.4.ПС.6-12.Т31 0ExiaIICT6")</f>
        <v>УСБ-Ех"СЕВЕР"ПЛ.4.ПС.6-12.Т31 0ExiaIICT6</v>
      </c>
      <c r="B1242" s="13" t="str">
        <f ca="1">IFERROR(__xludf.DUMMYFUNCTION("""COMPUTED_VALUE"""),"Устройство в корпусе из антистатичного пластика, 4 пластиковых кабельных ввода (6-12), тип клеммников - T31")</f>
        <v>Устройство в корпусе из антистатичного пластика, 4 пластиковых кабельных ввода (6-12), тип клеммников - T31</v>
      </c>
      <c r="C1242" s="14">
        <f ca="1">IFERROR(__xludf.DUMMYFUNCTION("""COMPUTED_VALUE"""),2117.5)</f>
        <v>2117.5</v>
      </c>
      <c r="D1242" s="13"/>
    </row>
    <row r="1243" spans="1:4" ht="38.25">
      <c r="A1243" s="12" t="str">
        <f ca="1">IFERROR(__xludf.DUMMYFUNCTION("""COMPUTED_VALUE"""),"УСБ-Ех""СЕВЕР""ПЛ.4.ПС.13-18.Т31 0ExiaIICT6 ")</f>
        <v xml:space="preserve">УСБ-Ех"СЕВЕР"ПЛ.4.ПС.13-18.Т31 0ExiaIICT6 </v>
      </c>
      <c r="B1243" s="13" t="str">
        <f ca="1">IFERROR(__xludf.DUMMYFUNCTION("""COMPUTED_VALUE"""),"Устройство в корпусе из антистатичного пластика, 4 пластиковых кабельных ввода (11-17), тип клеммников - T31")</f>
        <v>Устройство в корпусе из антистатичного пластика, 4 пластиковых кабельных ввода (11-17), тип клеммников - T31</v>
      </c>
      <c r="C1243" s="14">
        <f ca="1">IFERROR(__xludf.DUMMYFUNCTION("""COMPUTED_VALUE"""),2117.5)</f>
        <v>2117.5</v>
      </c>
      <c r="D1243" s="13"/>
    </row>
    <row r="1244" spans="1:4" ht="38.25">
      <c r="A1244" s="12" t="str">
        <f ca="1">IFERROR(__xludf.DUMMYFUNCTION("""COMPUTED_VALUE"""),"УСБ-Ех""СЕВЕР""ПЛ.4.ПС.6-12.DG3 0ExiaIICT6")</f>
        <v>УСБ-Ех"СЕВЕР"ПЛ.4.ПС.6-12.DG3 0ExiaIICT6</v>
      </c>
      <c r="B1244" s="13" t="str">
        <f ca="1">IFERROR(__xludf.DUMMYFUNCTION("""COMPUTED_VALUE"""),"Устройство в корпусе из антистатичного пластика, 4 пластиковых кабельных ввода (6-12), тип клеммников - DG3")</f>
        <v>Устройство в корпусе из антистатичного пластика, 4 пластиковых кабельных ввода (6-12), тип клеммников - DG3</v>
      </c>
      <c r="C1244" s="14">
        <f ca="1">IFERROR(__xludf.DUMMYFUNCTION("""COMPUTED_VALUE"""),1815)</f>
        <v>1815</v>
      </c>
      <c r="D1244" s="13"/>
    </row>
    <row r="1245" spans="1:4" ht="38.25">
      <c r="A1245" s="12" t="str">
        <f ca="1">IFERROR(__xludf.DUMMYFUNCTION("""COMPUTED_VALUE"""),"УСБ-Ех""СЕВЕР""ПЛ.4.ПС.13-18.DG3 0ExiaIICT6")</f>
        <v>УСБ-Ех"СЕВЕР"ПЛ.4.ПС.13-18.DG3 0ExiaIICT6</v>
      </c>
      <c r="B1245" s="13" t="str">
        <f ca="1">IFERROR(__xludf.DUMMYFUNCTION("""COMPUTED_VALUE"""),"Устройство в корпусе из антистатичного пластика, 4 пластиковых кабельных ввода (11-17), тип клеммников - DG3")</f>
        <v>Устройство в корпусе из антистатичного пластика, 4 пластиковых кабельных ввода (11-17), тип клеммников - DG3</v>
      </c>
      <c r="C1245" s="14">
        <f ca="1">IFERROR(__xludf.DUMMYFUNCTION("""COMPUTED_VALUE"""),1815)</f>
        <v>1815</v>
      </c>
      <c r="D1245" s="13"/>
    </row>
    <row r="1246" spans="1:4" ht="38.25">
      <c r="A1246" s="12" t="str">
        <f ca="1">IFERROR(__xludf.DUMMYFUNCTION("""COMPUTED_VALUE"""),"УСБ-Ех""СЕВЕР""ПЛ.6.ПС.6-12.РМ2 0ExiaIICT6 ")</f>
        <v xml:space="preserve">УСБ-Ех"СЕВЕР"ПЛ.6.ПС.6-12.РМ2 0ExiaIICT6 </v>
      </c>
      <c r="B1246" s="13" t="str">
        <f ca="1">IFERROR(__xludf.DUMMYFUNCTION("""COMPUTED_VALUE"""),"Устройство в корпусе из антистатичного пластика, 6 пластиковых кабельных вводов (6-12), тип клеммников - РМ2")</f>
        <v>Устройство в корпусе из антистатичного пластика, 6 пластиковых кабельных вводов (6-12), тип клеммников - РМ2</v>
      </c>
      <c r="C1246" s="14">
        <f ca="1">IFERROR(__xludf.DUMMYFUNCTION("""COMPUTED_VALUE"""),2904)</f>
        <v>2904</v>
      </c>
      <c r="D1246" s="13"/>
    </row>
    <row r="1247" spans="1:4" ht="38.25">
      <c r="A1247" s="12" t="str">
        <f ca="1">IFERROR(__xludf.DUMMYFUNCTION("""COMPUTED_VALUE"""),"УСБ-Ех""СЕВЕР""ПЛ.6.ПС.13-18.РМ2 0ExiaIICT6")</f>
        <v>УСБ-Ех"СЕВЕР"ПЛ.6.ПС.13-18.РМ2 0ExiaIICT6</v>
      </c>
      <c r="B1247" s="13" t="str">
        <f ca="1">IFERROR(__xludf.DUMMYFUNCTION("""COMPUTED_VALUE"""),"Устройство в корпусе из антистатичного пластика, 6 пластиковых кабельных вводов (11-17), тип клеммников - РМ2")</f>
        <v>Устройство в корпусе из антистатичного пластика, 6 пластиковых кабельных вводов (11-17), тип клеммников - РМ2</v>
      </c>
      <c r="C1247" s="14">
        <f ca="1">IFERROR(__xludf.DUMMYFUNCTION("""COMPUTED_VALUE"""),2904)</f>
        <v>2904</v>
      </c>
      <c r="D1247" s="13"/>
    </row>
    <row r="1248" spans="1:4" ht="38.25">
      <c r="A1248" s="12" t="str">
        <f ca="1">IFERROR(__xludf.DUMMYFUNCTION("""COMPUTED_VALUE"""),"УСБ-Ех""СЕВЕР""ПЛ.6.ПС.6-12.Т31 0ExiaIICT6 ")</f>
        <v xml:space="preserve">УСБ-Ех"СЕВЕР"ПЛ.6.ПС.6-12.Т31 0ExiaIICT6 </v>
      </c>
      <c r="B1248" s="13" t="str">
        <f ca="1">IFERROR(__xludf.DUMMYFUNCTION("""COMPUTED_VALUE"""),"Устройство в корпусе из антистатичного пластика, 6 пластиковых кабельных вводов (6-12), тип клеммников - T31")</f>
        <v>Устройство в корпусе из антистатичного пластика, 6 пластиковых кабельных вводов (6-12), тип клеммников - T31</v>
      </c>
      <c r="C1248" s="14">
        <f ca="1">IFERROR(__xludf.DUMMYFUNCTION("""COMPUTED_VALUE"""),2601.5)</f>
        <v>2601.5</v>
      </c>
      <c r="D1248" s="13"/>
    </row>
    <row r="1249" spans="1:4" ht="38.25">
      <c r="A1249" s="12" t="str">
        <f ca="1">IFERROR(__xludf.DUMMYFUNCTION("""COMPUTED_VALUE"""),"УСБ-Ех""СЕВЕР""ПЛ.6.ПС.13-18.Т31 0ExiaIICT6 ")</f>
        <v xml:space="preserve">УСБ-Ех"СЕВЕР"ПЛ.6.ПС.13-18.Т31 0ExiaIICT6 </v>
      </c>
      <c r="B1249" s="13" t="str">
        <f ca="1">IFERROR(__xludf.DUMMYFUNCTION("""COMPUTED_VALUE"""),"Устройство в корпусе из антистатичного пластика, 6 пластиковых кабельных вводов (11-17), тип клеммников - T31")</f>
        <v>Устройство в корпусе из антистатичного пластика, 6 пластиковых кабельных вводов (11-17), тип клеммников - T31</v>
      </c>
      <c r="C1249" s="14">
        <f ca="1">IFERROR(__xludf.DUMMYFUNCTION("""COMPUTED_VALUE"""),2601.5)</f>
        <v>2601.5</v>
      </c>
      <c r="D1249" s="13"/>
    </row>
    <row r="1250" spans="1:4" ht="38.25">
      <c r="A1250" s="12" t="str">
        <f ca="1">IFERROR(__xludf.DUMMYFUNCTION("""COMPUTED_VALUE"""),"УСБ-Ех""СЕВЕР""ПЛ.6.ПС.6-12.DG3 0ExiaIICT6")</f>
        <v>УСБ-Ех"СЕВЕР"ПЛ.6.ПС.6-12.DG3 0ExiaIICT6</v>
      </c>
      <c r="B1250" s="13" t="str">
        <f ca="1">IFERROR(__xludf.DUMMYFUNCTION("""COMPUTED_VALUE"""),"Устройство в корпусе из антистатичного пластика, 6 пластиковых кабельных вводов (6-12), тип клеммников - DG3")</f>
        <v>Устройство в корпусе из антистатичного пластика, 6 пластиковых кабельных вводов (6-12), тип клеммников - DG3</v>
      </c>
      <c r="C1250" s="14">
        <f ca="1">IFERROR(__xludf.DUMMYFUNCTION("""COMPUTED_VALUE"""),2299)</f>
        <v>2299</v>
      </c>
      <c r="D1250" s="13"/>
    </row>
    <row r="1251" spans="1:4" ht="38.25">
      <c r="A1251" s="12" t="str">
        <f ca="1">IFERROR(__xludf.DUMMYFUNCTION("""COMPUTED_VALUE"""),"УСБ-Ех""СЕВЕР""ПЛ.6.ПС.13-18.DG3 0ExiaIICT6 ")</f>
        <v xml:space="preserve">УСБ-Ех"СЕВЕР"ПЛ.6.ПС.13-18.DG3 0ExiaIICT6 </v>
      </c>
      <c r="B1251" s="13" t="str">
        <f ca="1">IFERROR(__xludf.DUMMYFUNCTION("""COMPUTED_VALUE"""),"Устройство в корпусе из антистатичного пластика, 6 пластиковых кабельных вводов (11-17), тип клеммников - DG3")</f>
        <v>Устройство в корпусе из антистатичного пластика, 6 пластиковых кабельных вводов (11-17), тип клеммников - DG3</v>
      </c>
      <c r="C1251" s="14">
        <f ca="1">IFERROR(__xludf.DUMMYFUNCTION("""COMPUTED_VALUE"""),2299)</f>
        <v>2299</v>
      </c>
      <c r="D1251" s="13"/>
    </row>
    <row r="1252" spans="1:4" ht="51">
      <c r="A1252" s="12" t="str">
        <f ca="1">IFERROR(__xludf.DUMMYFUNCTION("""COMPUTED_VALUE"""),"УС-4 (каб.вводы 3-5,3мм) ПАШК.425212.050")</f>
        <v>УС-4 (каб.вводы 3-5,3мм) ПАШК.425212.050</v>
      </c>
      <c r="B1252" s="13" t="str">
        <f ca="1">IFERROR(__xludf.DUMMYFUNCTION("""COMPUTED_VALUE"""),"Коробка соединительная, до 16 клемм , до 4 кабельных вводов. Обеспечивают ввод подключаемого кабеля диаметром от 3 до 5,3 мм")</f>
        <v>Коробка соединительная, до 16 клемм , до 4 кабельных вводов. Обеспечивают ввод подключаемого кабеля диаметром от 3 до 5,3 мм</v>
      </c>
      <c r="C1252" s="14">
        <f ca="1">IFERROR(__xludf.DUMMYFUNCTION("""COMPUTED_VALUE"""),513.92)</f>
        <v>513.91999999999996</v>
      </c>
      <c r="D1252" s="13"/>
    </row>
    <row r="1253" spans="1:4" ht="51">
      <c r="A1253" s="12" t="str">
        <f ca="1">IFERROR(__xludf.DUMMYFUNCTION("""COMPUTED_VALUE"""),"УС-4 (каб.вводы 4,5-8мм) ПАШК.425212.050")</f>
        <v>УС-4 (каб.вводы 4,5-8мм) ПАШК.425212.050</v>
      </c>
      <c r="B1253" s="13" t="str">
        <f ca="1">IFERROR(__xludf.DUMMYFUNCTION("""COMPUTED_VALUE"""),"Коробка соединительная, до 16 клемм , до 4 кабельных вводов. Обеспечивают ввод подключаемого кабеля диаметром от 4,5 до 8 мм")</f>
        <v>Коробка соединительная, до 16 клемм , до 4 кабельных вводов. Обеспечивают ввод подключаемого кабеля диаметром от 4,5 до 8 мм</v>
      </c>
      <c r="C1253" s="14">
        <f ca="1">IFERROR(__xludf.DUMMYFUNCTION("""COMPUTED_VALUE"""),577.5)</f>
        <v>577.5</v>
      </c>
      <c r="D1253" s="13"/>
    </row>
    <row r="1254" spans="1:4" ht="63.75">
      <c r="A1254" s="12" t="str">
        <f ca="1">IFERROR(__xludf.DUMMYFUNCTION("""COMPUTED_VALUE"""),"УС-4Т (каб.вводы 3-5,3мм) ПАШК.425212.050")</f>
        <v>УС-4Т (каб.вводы 3-5,3мм) ПАШК.425212.050</v>
      </c>
      <c r="B1254" s="13" t="str">
        <f ca="1">IFERROR(__xludf.DUMMYFUNCTION("""COMPUTED_VALUE"""),"Коробка соединительная с защитой от вскрытия (тампером), до 16 клемм , до 4 кабельных вводов. Обеспечивают ввод подключаемого кабеля диаметром от 3 до 5,3 мм")</f>
        <v>Коробка соединительная с защитой от вскрытия (тампером), до 16 клемм , до 4 кабельных вводов. Обеспечивают ввод подключаемого кабеля диаметром от 3 до 5,3 мм</v>
      </c>
      <c r="C1254" s="14">
        <f ca="1">IFERROR(__xludf.DUMMYFUNCTION("""COMPUTED_VALUE"""),742.5)</f>
        <v>742.5</v>
      </c>
      <c r="D1254" s="13"/>
    </row>
    <row r="1255" spans="1:4" ht="63.75">
      <c r="A1255" s="12" t="str">
        <f ca="1">IFERROR(__xludf.DUMMYFUNCTION("""COMPUTED_VALUE"""),"УС-4Т (каб.вводы 4,5-8мм) ПАШК.425212.050")</f>
        <v>УС-4Т (каб.вводы 4,5-8мм) ПАШК.425212.050</v>
      </c>
      <c r="B1255" s="13" t="str">
        <f ca="1">IFERROR(__xludf.DUMMYFUNCTION("""COMPUTED_VALUE"""),"Коробка соединительная с защитой от вскрытия (тампером), до 16 клемм , до 4 кабельных вводов. Обеспечивают ввод подключаемого кабеля диаметром от 4,5 до 8 мм")</f>
        <v>Коробка соединительная с защитой от вскрытия (тампером), до 16 клемм , до 4 кабельных вводов. Обеспечивают ввод подключаемого кабеля диаметром от 4,5 до 8 мм</v>
      </c>
      <c r="C1255" s="14">
        <f ca="1">IFERROR(__xludf.DUMMYFUNCTION("""COMPUTED_VALUE"""),797.4989)</f>
        <v>797.49890000000005</v>
      </c>
      <c r="D1255" s="13"/>
    </row>
    <row r="1256" spans="1:4" ht="89.25">
      <c r="A1256" s="12" t="str">
        <f ca="1">IFERROR(__xludf.DUMMYFUNCTION("""COMPUTED_VALUE"""),"Коробка пластиковая IP67 195х80х75 ""СЕВЕР"" АТФЕ. 685552. 003 ТУ")</f>
        <v>Коробка пластиковая IP67 195х80х75 "СЕВЕР" АТФЕ. 685552. 003 ТУ</v>
      </c>
      <c r="B1256" s="13" t="str">
        <f ca="1">IFERROR(__xludf.DUMMYFUNCTION("""COMPUTED_VALUE"""),"Герметичный корпус. Габаритные размеры: длина 195 мм, ширина 80 мм и высота 75 мм.
 Соединение основания и крышки выполнено по технологии «выступ - паз», 
 Обеспечивается защита от проникновения пыли и влаги.")</f>
        <v>Герметичный корпус. Габаритные размеры: длина 195 мм, ширина 80 мм и высота 75 мм.
 Соединение основания и крышки выполнено по технологии «выступ - паз», 
 Обеспечивается защита от проникновения пыли и влаги.</v>
      </c>
      <c r="C1256" s="14">
        <f ca="1">IFERROR(__xludf.DUMMYFUNCTION("""COMPUTED_VALUE"""),1151.5207)</f>
        <v>1151.5207</v>
      </c>
      <c r="D1256" s="13"/>
    </row>
    <row r="1257" spans="1:4" ht="114.75">
      <c r="A1257" s="12" t="str">
        <f ca="1">IFERROR(__xludf.DUMMYFUNCTION("""COMPUTED_VALUE"""),"КСП ""СЕВЕР"" ПЛ.2-РМ2-11 АТФЕ.685552.110 ПС IP66")</f>
        <v>КСП "СЕВЕР" ПЛ.2-РМ2-11 АТФЕ.685552.110 ПС IP66</v>
      </c>
      <c r="B1257" s="13" t="str">
        <f ca="1">IFERROR(__xludf.DUMMYFUNCTION("""COMPUTED_VALUE"""),"Коробка соединительная. Корпус выполнен из пластика, оборудован герметичными пластиковыми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57" s="14">
        <f ca="1">IFERROR(__xludf.DUMMYFUNCTION("""COMPUTED_VALUE"""),1378.0085)</f>
        <v>1378.0084999999999</v>
      </c>
      <c r="D1257" s="13"/>
    </row>
    <row r="1258" spans="1:4" ht="114.75">
      <c r="A1258" s="12" t="str">
        <f ca="1">IFERROR(__xludf.DUMMYFUNCTION("""COMPUTED_VALUE"""),"КСП ""СЕВЕР"" ПЛ.4-РМ2-11 АТФЕ.685552.110 ПС IP66")</f>
        <v>КСП "СЕВЕР" ПЛ.4-РМ2-11 АТФЕ.685552.110 ПС IP66</v>
      </c>
      <c r="B1258" s="13" t="str">
        <f ca="1">IFERROR(__xludf.DUMMYFUNCTION("""COMPUTED_VALUE"""),"Коробка соединительная. Корпус выполнен из пластика, оборудован герметичными пластиковыми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58" s="14">
        <f ca="1">IFERROR(__xludf.DUMMYFUNCTION("""COMPUTED_VALUE"""),1478.8862)</f>
        <v>1478.8861999999999</v>
      </c>
      <c r="D1258" s="13"/>
    </row>
    <row r="1259" spans="1:4" ht="114.75">
      <c r="A1259" s="12" t="str">
        <f ca="1">IFERROR(__xludf.DUMMYFUNCTION("""COMPUTED_VALUE"""),"КСП ""СЕВЕР"" ПЛ.6-РМ2-11 АТФЕ.685552.110 ПС IP66")</f>
        <v>КСП "СЕВЕР" ПЛ.6-РМ2-11 АТФЕ.685552.110 ПС IP66</v>
      </c>
      <c r="B1259" s="13" t="str">
        <f ca="1">IFERROR(__xludf.DUMMYFUNCTION("""COMPUTED_VALUE"""),"Коробка соединительная. Корпус выполнен из пластика, оборудован герметичными пластиковыми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подклю"&amp;"чения соединяемых проводников.")</f>
        <v>Коробка соединительная. Корпус выполнен из пластика, оборудован герметичными пластиковыми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59" s="14">
        <f ca="1">IFERROR(__xludf.DUMMYFUNCTION("""COMPUTED_VALUE"""),1579.7639)</f>
        <v>1579.7638999999999</v>
      </c>
      <c r="D1259" s="13"/>
    </row>
    <row r="1260" spans="1:4" ht="102">
      <c r="A1260" s="12" t="str">
        <f ca="1">IFERROR(__xludf.DUMMYFUNCTION("""COMPUTED_VALUE"""),"КСП ""СЕВЕР"" МТ.2-РМ2-11 АТФЕ.685552.110 ПС IP66")</f>
        <v>КСП "СЕВЕР" МТ.2-РМ2-11 АТФЕ.685552.110 ПС IP66</v>
      </c>
      <c r="B1260" s="13" t="str">
        <f ca="1">IFERROR(__xludf.DUMMYFUNCTION("""COMPUTED_VALUE"""),"Коробка соединительная. Корпус выполнен из пластика, оборудован металлическими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(2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0" s="14">
        <f ca="1">IFERROR(__xludf.DUMMYFUNCTION("""COMPUTED_VALUE"""),1570.2533)</f>
        <v>1570.2533000000001</v>
      </c>
      <c r="D1260" s="13"/>
    </row>
    <row r="1261" spans="1:4" ht="102">
      <c r="A1261" s="12" t="str">
        <f ca="1">IFERROR(__xludf.DUMMYFUNCTION("""COMPUTED_VALUE"""),"КСП ""СЕВЕР"" МТ.4-РМ2-11 АТФЕ.685552.110 ПС IP66")</f>
        <v>КСП "СЕВЕР" МТ.4-РМ2-11 АТФЕ.685552.110 ПС IP66</v>
      </c>
      <c r="B1261" s="13" t="str">
        <f ca="1">IFERROR(__xludf.DUMMYFUNCTION("""COMPUTED_VALUE"""),"Коробка соединительная. Корпус выполнен из пластика, оборудован металлическими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(4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1" s="14">
        <f ca="1">IFERROR(__xludf.DUMMYFUNCTION("""COMPUTED_VALUE"""),1896.675)</f>
        <v>1896.675</v>
      </c>
      <c r="D1261" s="13"/>
    </row>
    <row r="1262" spans="1:4" ht="102">
      <c r="A1262" s="12" t="str">
        <f ca="1">IFERROR(__xludf.DUMMYFUNCTION("""COMPUTED_VALUE"""),"КСП ""СЕВЕР"" МТ.6-РМ2-11 АТФЕ.685552.110 ПС IP66")</f>
        <v>КСП "СЕВЕР" МТ.6-РМ2-11 АТФЕ.685552.110 ПС IP66</v>
      </c>
      <c r="B1262" s="13" t="str">
        <f ca="1">IFERROR(__xludf.DUMMYFUNCTION("""COMPUTED_VALUE"""),"Коробка соединительная. Корпус выполнен из пластика, оборудован металлическими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соеди"&amp;"няемых проводников.")</f>
        <v>Коробка соединительная. Корпус выполнен из пластика, оборудован металлическими кабельными вводами (6 шт) для подведения проводников диаметром от 6 до 14 мм. Внутри корпуса изделия расположены винтовые клеммники РМ2 в количестве 11шт. для подключения соединяемых проводников.</v>
      </c>
      <c r="C1262" s="14">
        <f ca="1">IFERROR(__xludf.DUMMYFUNCTION("""COMPUTED_VALUE"""),2224.6092)</f>
        <v>2224.6091999999999</v>
      </c>
      <c r="D1262" s="13"/>
    </row>
    <row r="1263" spans="1:4" ht="63.75">
      <c r="A1263" s="12" t="str">
        <f ca="1">IFERROR(__xludf.DUMMYFUNCTION("""COMPUTED_VALUE"""),"Коробка соединительная с тампером (датчиком вскрытия) КСП-Т ""СЕВЕР"" ПЛ.2.ПС.6-12.РМ2-9 АТФЕ.685552.110-01 ТУ")</f>
        <v>Коробка соединительная с тампером (датчиком вскрытия) КСП-Т "СЕВЕР" ПЛ.2.ПС.6-12.РМ2-9 АТФЕ.685552.110-01 ТУ</v>
      </c>
      <c r="B1263" s="13" t="str">
        <f ca="1">IFERROR(__xludf.DUMMYFUNCTION("""COMPUTED_VALUE"""),"Коробка соединительная с пластиковыми кабельными вводами для подведения проводников диаметром от 6 до 12 мм и с защитой от вскрытия в виде герконового датчика - Тампером. IP66")</f>
        <v>Коробка соединительная с пластиковыми кабельными вводами для подведения проводников диаметром от 6 до 12 мм и с защитой от вскрытия в виде герконового датчика - Тампером. IP66</v>
      </c>
      <c r="C1263" s="14">
        <f ca="1">IFERROR(__xludf.DUMMYFUNCTION("""COMPUTED_VALUE"""),1602.6087)</f>
        <v>1602.6087</v>
      </c>
      <c r="D1263" s="13"/>
    </row>
    <row r="1264" spans="1:4" ht="38.25">
      <c r="A1264" s="12" t="str">
        <f ca="1">IFERROR(__xludf.DUMMYFUNCTION("""COMPUTED_VALUE"""),"Коробка соединительная с тампером (датчиком вскрытия) КСП-Т ""СЕВЕР"" ПЛ.4.ПС.6-12.РМ2-9 АТФЕ.685552.110-01 ТУ")</f>
        <v>Коробка соединительная с тампером (датчиком вскрытия) КСП-Т "СЕВЕР" ПЛ.4.ПС.6-12.РМ2-9 АТФЕ.685552.110-01 ТУ</v>
      </c>
      <c r="B1264" s="13" t="str">
        <f ca="1">IFERROR(__xludf.DUMMYFUNCTION("""COMPUTED_VALUE"""),"Коробка соединительная с тампером (датчиком вскрытия) КСП-Т ""СЕВЕР"" ПЛ.4.ПС.6-12.РМ2-9 ПАШК.685552.110 ПС")</f>
        <v>Коробка соединительная с тампером (датчиком вскрытия) КСП-Т "СЕВЕР" ПЛ.4.ПС.6-12.РМ2-9 ПАШК.685552.110 ПС</v>
      </c>
      <c r="C1264" s="14">
        <f ca="1">IFERROR(__xludf.DUMMYFUNCTION("""COMPUTED_VALUE"""),1703.0992)</f>
        <v>1703.0992000000001</v>
      </c>
      <c r="D1264" s="13"/>
    </row>
    <row r="1265" spans="1:4" ht="38.25">
      <c r="A1265" s="12" t="str">
        <f ca="1">IFERROR(__xludf.DUMMYFUNCTION("""COMPUTED_VALUE"""),"Коробка соединительная с тампером (датчиком вскрытия) КСП-Т ""СЕВЕР"" ПЛ.6.ПС.6-12.РМ2-9 АТФЕ.685552.110-01 ТУ")</f>
        <v>Коробка соединительная с тампером (датчиком вскрытия) КСП-Т "СЕВЕР" ПЛ.6.ПС.6-12.РМ2-9 АТФЕ.685552.110-01 ТУ</v>
      </c>
      <c r="B1265" s="13" t="str">
        <f ca="1">IFERROR(__xludf.DUMMYFUNCTION("""COMPUTED_VALUE"""),"Коробка соединительная с тампером (датчиком вскрытия) КСП-Т ""СЕВЕР"" ПЛ.6.ПС.6-12.РМ2-9 ПАШК.685552.110 ПС")</f>
        <v>Коробка соединительная с тампером (датчиком вскрытия) КСП-Т "СЕВЕР" ПЛ.6.ПС.6-12.РМ2-9 ПАШК.685552.110 ПС</v>
      </c>
      <c r="C1265" s="14">
        <f ca="1">IFERROR(__xludf.DUMMYFUNCTION("""COMPUTED_VALUE"""),1803.6018)</f>
        <v>1803.6017999999999</v>
      </c>
      <c r="D1265" s="13"/>
    </row>
    <row r="1266" spans="1:4" ht="51">
      <c r="A1266" s="12" t="str">
        <f ca="1">IFERROR(__xludf.DUMMYFUNCTION("""COMPUTED_VALUE"""),"Коробка соединительная с тампером (датчиком вскрытия) КСП-Т ""СЕВЕР"" ПЛ.2.МТ.6-12.РМ2-9 АТФЕ.685552.110-01 ТУ")</f>
        <v>Коробка соединительная с тампером (датчиком вскрытия) КСП-Т "СЕВЕР" ПЛ.2.МТ.6-12.РМ2-9 АТФЕ.685552.110-01 ТУ</v>
      </c>
      <c r="B1266" s="13" t="str">
        <f ca="1">IFERROR(__xludf.DUMMYFUNCTION("""COMPUTED_VALUE"""),"Коробка соединительная с металлическими кабельными вводами и с защитой от вскрытия в виде герконового датчика - Тампером. IP66")</f>
        <v>Коробка соединительная с металлическими кабельными вводами и с защитой от вскрытия в виде герконового датчика - Тампером. IP66</v>
      </c>
      <c r="C1266" s="14">
        <f ca="1">IFERROR(__xludf.DUMMYFUNCTION("""COMPUTED_VALUE"""),1794.8414)</f>
        <v>1794.8414</v>
      </c>
      <c r="D1266" s="13"/>
    </row>
    <row r="1267" spans="1:4" ht="38.25">
      <c r="A1267" s="12" t="str">
        <f ca="1">IFERROR(__xludf.DUMMYFUNCTION("""COMPUTED_VALUE"""),"Коробка соединительная с тампером (датчиком вскрытия) КСП-Т ""СЕВЕР"" ПЛ.4.МТ.6-12.РМ2-9 АТФЕ.685552.110-01 ТУ")</f>
        <v>Коробка соединительная с тампером (датчиком вскрытия) КСП-Т "СЕВЕР" ПЛ.4.МТ.6-12.РМ2-9 АТФЕ.685552.110-01 ТУ</v>
      </c>
      <c r="B1267" s="13" t="str">
        <f ca="1">IFERROR(__xludf.DUMMYFUNCTION("""COMPUTED_VALUE"""),"Коробка соединительная с тампером (датчиком вскрытия) КСП-Т ""СЕВЕР"" ПЛ.4.МТ.6-12.РМ2-9 ПАШК.685552.110 ПС")</f>
        <v>Коробка соединительная с тампером (датчиком вскрытия) КСП-Т "СЕВЕР" ПЛ.4.МТ.6-12.РМ2-9 ПАШК.685552.110 ПС</v>
      </c>
      <c r="C1267" s="14">
        <f ca="1">IFERROR(__xludf.DUMMYFUNCTION("""COMPUTED_VALUE"""),2177.9879)</f>
        <v>2177.9879000000001</v>
      </c>
      <c r="D1267" s="13"/>
    </row>
    <row r="1268" spans="1:4" ht="38.25">
      <c r="A1268" s="12" t="str">
        <f ca="1">IFERROR(__xludf.DUMMYFUNCTION("""COMPUTED_VALUE"""),"Коробка соединительная с тампером (датчиком вскрытия) КСП-Т ""СЕВЕР"" ПЛ.6.МТ.6-12.РМ2-9 АТФЕ.685552.110-01 ТУ")</f>
        <v>Коробка соединительная с тампером (датчиком вскрытия) КСП-Т "СЕВЕР" ПЛ.6.МТ.6-12.РМ2-9 АТФЕ.685552.110-01 ТУ</v>
      </c>
      <c r="B1268" s="13" t="str">
        <f ca="1">IFERROR(__xludf.DUMMYFUNCTION("""COMPUTED_VALUE"""),"Коробка соединительная с тампером (датчиком вскрытия) КСП-Т ""СЕВЕР"" ПЛ.6.МТ.6-12.РМ2-9 ПАШК.685552.110 ПС")</f>
        <v>Коробка соединительная с тампером (датчиком вскрытия) КСП-Т "СЕВЕР" ПЛ.6.МТ.6-12.РМ2-9 ПАШК.685552.110 ПС</v>
      </c>
      <c r="C1268" s="14">
        <f ca="1">IFERROR(__xludf.DUMMYFUNCTION("""COMPUTED_VALUE"""),2448.8222)</f>
        <v>2448.8222000000001</v>
      </c>
      <c r="D1268" s="13"/>
    </row>
    <row r="1269" spans="1:4" ht="38.25">
      <c r="A1269" s="12" t="str">
        <f ca="1">IFERROR(__xludf.DUMMYFUNCTION("""COMPUTED_VALUE"""),"Коробка соединительная КСП-Т ""СЕВЕР с тампером,  24 контакта,  IP66 (замена JB-730)
ПАШК.685552.110 ПС")</f>
        <v>Коробка соединительная КСП-Т "СЕВЕР с тампером,  24 контакта,  IP66 (замена JB-730)
ПАШК.685552.110 ПС</v>
      </c>
      <c r="B1269" s="13" t="str">
        <f ca="1">IFERROR(__xludf.DUMMYFUNCTION("""COMPUTED_VALUE"""),"Коробка соединительная с тампером (датчиком вскрытия) и клеммником на 24 пары контактов")</f>
        <v>Коробка соединительная с тампером (датчиком вскрытия) и клеммником на 24 пары контактов</v>
      </c>
      <c r="C1269" s="14">
        <f ca="1">IFERROR(__xludf.DUMMYFUNCTION("""COMPUTED_VALUE"""),946)</f>
        <v>946</v>
      </c>
      <c r="D1269" s="13"/>
    </row>
    <row r="1270" spans="1:4" ht="102">
      <c r="A1270" s="12" t="str">
        <f ca="1">IFERROR(__xludf.DUMMYFUNCTION("""COMPUTED_VALUE"""),"КВСК Север ПЛ.8.ПС.6-12, 20 WAGO, IP66/IP67 ПАШК.685552.002")</f>
        <v>КВСК Север ПЛ.8.ПС.6-12, 20 WAGO, IP66/IP67 ПАШК.685552.002</v>
      </c>
      <c r="B1270" s="13" t="str">
        <f ca="1">IFERROR(__xludf.DUMMYFUNCTION("""COMPUTED_VALUE"""),"Влагозащищенная (IP66/IP67) клеммная коробка , 20 шт рычажных проходных клемм (4мм кв), 8 кабельных вводов под кабель диаметром 6-12 мм., датчик вскрытия корпуса (тампер). По согласованию с заказчиком количество характеристики клемм и вводов могут быть из"&amp;"менены.")</f>
        <v>Влагозащищенная (IP66/IP67) клеммная коробка , 20 шт рычажных проходных клемм (4мм кв), 8 кабельных вводов под кабель диаметром 6-12 мм., датчик вскрытия корпуса (тампер). По согласованию с заказчиком количество характеристики клемм и вводов могут быть изменены.</v>
      </c>
      <c r="C1270" s="14">
        <f ca="1">IFERROR(__xludf.DUMMYFUNCTION("""COMPUTED_VALUE"""),4970)</f>
        <v>4970</v>
      </c>
      <c r="D1270" s="13"/>
    </row>
    <row r="1271" spans="1:4" ht="89.25">
      <c r="A1271" s="12" t="str">
        <f ca="1">IFERROR(__xludf.DUMMYFUNCTION("""COMPUTED_VALUE"""),"КВСК Север ПЛ.8.ПС.6-12, 25 WAGO, IP66/IP67 ПАШК.685552.002")</f>
        <v>КВСК Север ПЛ.8.ПС.6-12, 25 WAGO, IP66/IP67 ПАШК.685552.002</v>
      </c>
      <c r="B1271" s="13" t="str">
        <f ca="1">IFERROR(__xludf.DUMMYFUNCTION("""COMPUTED_VALUE"""),"Влагозащищенная (IP66/IP67) клеммная коробка IP66/IP67, 25 шт рычажных проходных клемм (4мм кв), 8 кабельных вводов под кабель диаметром 6-12 мм. По согласованию с заказчиком количество характеристики клемм и вводов могут быть изменены")</f>
        <v>Влагозащищенная (IP66/IP67) клеммная коробка IP66/IP67, 25 шт рычажных проходных клемм (4мм кв), 8 кабельных вводов под кабель диаметром 6-12 мм. По согласованию с заказчиком количество характеристики клемм и вводов могут быть изменены</v>
      </c>
      <c r="C1271" s="14">
        <f ca="1">IFERROR(__xludf.DUMMYFUNCTION("""COMPUTED_VALUE"""),5470)</f>
        <v>5470</v>
      </c>
      <c r="D1271" s="13"/>
    </row>
    <row r="1272" spans="1:4" ht="102">
      <c r="A1272" s="12" t="str">
        <f ca="1">IFERROR(__xludf.DUMMYFUNCTION("""COMPUTED_VALUE"""),"КВСК Север"" ПЛ.6.ПС.6-12, 20 WAGO, IP66/IP67 с шиной заземления ПАШК.685552.002")</f>
        <v>КВСК Север" ПЛ.6.ПС.6-12, 20 WAGO, IP66/IP67 с шиной заземления ПАШК.685552.002</v>
      </c>
      <c r="B1272" s="13" t="str">
        <f ca="1">IFERROR(__xludf.DUMMYFUNCTION("""COMPUTED_VALUE"""),"Влагозащищенная (IP66/IP67) клеммная коробка IP66/IP67, 20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б"&amp;"ыть изменены")</f>
        <v>Влагозащищенная (IP66/IP67) клеммная коробка IP66/IP67, 20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изменены</v>
      </c>
      <c r="C1272" s="14">
        <f ca="1">IFERROR(__xludf.DUMMYFUNCTION("""COMPUTED_VALUE"""),5700)</f>
        <v>5700</v>
      </c>
      <c r="D1272" s="13"/>
    </row>
    <row r="1273" spans="1:4" ht="102">
      <c r="A1273" s="12" t="str">
        <f ca="1">IFERROR(__xludf.DUMMYFUNCTION("""COMPUTED_VALUE"""),"КВСК Север"" ПЛ.6.ПС.6-12, 25 WAGO, IP66/IP67 с шиной заземления ПАШК.685552.002")</f>
        <v>КВСК Север" ПЛ.6.ПС.6-12, 25 WAGO, IP66/IP67 с шиной заземления ПАШК.685552.002</v>
      </c>
      <c r="B1273" s="13" t="str">
        <f ca="1">IFERROR(__xludf.DUMMYFUNCTION("""COMPUTED_VALUE"""),"Влагозащищенная (IP66/IP67) клеммная коробка, 25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измене"&amp;"ны")</f>
        <v>Влагозащищенная (IP66/IP67) клеммная коробка, 25 шт рычажных проходных клемм (4мм кв), 8 кабельных вводов под кабель диаметром 6-12 мм. Датчик вскрытия корпуса (тампер)По согласованию с заказчиком количество характеристики клемм и вводов могут быть изменены</v>
      </c>
      <c r="C1273" s="14">
        <f ca="1">IFERROR(__xludf.DUMMYFUNCTION("""COMPUTED_VALUE"""),5900)</f>
        <v>5900</v>
      </c>
      <c r="D1273" s="13"/>
    </row>
    <row r="1274" spans="1:4" ht="102">
      <c r="A1274" s="12" t="str">
        <f ca="1">IFERROR(__xludf.DUMMYFUNCTION("""COMPUTED_VALUE"""),"КВСК Север"" ПЛ.8.ПС.6-12.Т31, 8 отверстий с герметичными кабельными вводами, IP66/IP67 ПАШК.685552.002")</f>
        <v>КВСК Север" ПЛ.8.ПС.6-12.Т31, 8 отверстий с герметичными кабельными вводами, IP66/IP67 ПАШК.685552.002</v>
      </c>
      <c r="B1274" s="13" t="str">
        <f ca="1">IFERROR(__xludf.DUMMYFUNCTION("""COMPUTED_VALUE"""),"Предназначена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f>
        <v>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v>
      </c>
      <c r="C1274" s="14">
        <f ca="1">IFERROR(__xludf.DUMMYFUNCTION("""COMPUTED_VALUE"""),3844.7266)</f>
        <v>3844.7266</v>
      </c>
      <c r="D1274" s="13"/>
    </row>
    <row r="1275" spans="1:4" ht="102">
      <c r="A1275" s="12" t="str">
        <f ca="1">IFERROR(__xludf.DUMMYFUNCTION("""COMPUTED_VALUE"""),"КВСК Север"" ПЛ.8.ПС.6-12.PM2, 8 отверстий с герметичными кабельными вводами, IP66/IP67 ПАШК.685552.002")</f>
        <v>КВСК Север" ПЛ.8.ПС.6-12.PM2, 8 отверстий с герметичными кабельными вводами, IP66/IP67 ПАШК.685552.002</v>
      </c>
      <c r="B1275" s="13" t="str">
        <f ca="1">IFERROR(__xludf.DUMMYFUNCTION("""COMPUTED_VALUE"""),"Предназначена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f>
        <v>Предназначена для соединения (разветвления) сигнальных кабелей, например в шлейфах пожарной или охранно-пожарной сигнализации, линиях связи и телекоммуникаций, цепях систем управления и автоматики, а также подключения в шлейфы оконечных устройств и т. п.</v>
      </c>
      <c r="C1275" s="14">
        <f ca="1">IFERROR(__xludf.DUMMYFUNCTION("""COMPUTED_VALUE"""),3844.7266)</f>
        <v>3844.7266</v>
      </c>
      <c r="D1275" s="13"/>
    </row>
    <row r="1276" spans="1:4" ht="25.5">
      <c r="A1276" s="12" t="str">
        <f ca="1">IFERROR(__xludf.DUMMYFUNCTION("""COMPUTED_VALUE"""),"КВСК Север"" АВС.8.ПС.6-12.Т31, 8 отверстий с герметичными кабельными вводами, IP66/IP67 ПАШК.685552.002")</f>
        <v>КВСК Север" АВС.8.ПС.6-12.Т31, 8 отверстий с герметичными кабельными вводами, IP66/IP67 ПАШК.685552.002</v>
      </c>
      <c r="B1276" s="13" t="str">
        <f ca="1">IFERROR(__xludf.DUMMYFUNCTION("""COMPUTED_VALUE"""),"материал корпуса - АВС")</f>
        <v>материал корпуса - АВС</v>
      </c>
      <c r="C1276" s="14">
        <f ca="1">IFERROR(__xludf.DUMMYFUNCTION("""COMPUTED_VALUE"""),4143.5482)</f>
        <v>4143.5482000000002</v>
      </c>
      <c r="D1276" s="13"/>
    </row>
    <row r="1277" spans="1:4" ht="25.5">
      <c r="A1277" s="12" t="str">
        <f ca="1">IFERROR(__xludf.DUMMYFUNCTION("""COMPUTED_VALUE"""),"КВСК Север"" АВС.8.ПС.6-12.РМ2, 8 отверстий с герметичными кабельными вводами, IP66/IP67 ПАШК.685552.002")</f>
        <v>КВСК Север" АВС.8.ПС.6-12.РМ2, 8 отверстий с герметичными кабельными вводами, IP66/IP67 ПАШК.685552.002</v>
      </c>
      <c r="B1277" s="13" t="str">
        <f ca="1">IFERROR(__xludf.DUMMYFUNCTION("""COMPUTED_VALUE"""),"материал корпуса - АВС")</f>
        <v>материал корпуса - АВС</v>
      </c>
      <c r="C1277" s="14">
        <f ca="1">IFERROR(__xludf.DUMMYFUNCTION("""COMPUTED_VALUE"""),4143.5482)</f>
        <v>4143.5482000000002</v>
      </c>
      <c r="D1277" s="13"/>
    </row>
    <row r="1278" spans="1:4" ht="25.5">
      <c r="A1278" s="12" t="str">
        <f ca="1">IFERROR(__xludf.DUMMYFUNCTION("""COMPUTED_VALUE"""),"КВСК Север"" АВС.8.ПС.11-17.Т31, 8 отверстий с герметичными кабельными вводами, IP66/IP67 ПАШК.685552.002")</f>
        <v>КВСК Север" АВС.8.ПС.11-17.Т31, 8 отверстий с герметичными кабельными вводами, IP66/IP67 ПАШК.685552.002</v>
      </c>
      <c r="B1278" s="13" t="str">
        <f ca="1">IFERROR(__xludf.DUMMYFUNCTION("""COMPUTED_VALUE"""),"материал корпуса - АВС")</f>
        <v>материал корпуса - АВС</v>
      </c>
      <c r="C1278" s="14">
        <f ca="1">IFERROR(__xludf.DUMMYFUNCTION("""COMPUTED_VALUE"""),6058.3006)</f>
        <v>6058.3005999999996</v>
      </c>
      <c r="D1278" s="13"/>
    </row>
    <row r="1279" spans="1:4" ht="25.5">
      <c r="A1279" s="12" t="str">
        <f ca="1">IFERROR(__xludf.DUMMYFUNCTION("""COMPUTED_VALUE"""),"КВСК Север"" АВС.8.ПС.11-17.РМ2, 8 отверстий с герметичными кабельными вводами, IP66/IP67 ПАШК.685552.002")</f>
        <v>КВСК Север" АВС.8.ПС.11-17.РМ2, 8 отверстий с герметичными кабельными вводами, IP66/IP67 ПАШК.685552.002</v>
      </c>
      <c r="B1279" s="13" t="str">
        <f ca="1">IFERROR(__xludf.DUMMYFUNCTION("""COMPUTED_VALUE"""),"материал корпуса - АВС")</f>
        <v>материал корпуса - АВС</v>
      </c>
      <c r="C1279" s="14">
        <f ca="1">IFERROR(__xludf.DUMMYFUNCTION("""COMPUTED_VALUE"""),6058.3006)</f>
        <v>6058.3005999999996</v>
      </c>
      <c r="D1279" s="13"/>
    </row>
    <row r="1280" spans="1:4" ht="25.5">
      <c r="A1280" s="12" t="str">
        <f ca="1">IFERROR(__xludf.DUMMYFUNCTION("""COMPUTED_VALUE"""),"КВСК Север"" АВС.8.ПС.13-18.Т31, 8 отверстий с герметичными кабельными вводами, IP66/IP67 ПАШК.685552.002")</f>
        <v>КВСК Север" АВС.8.ПС.13-18.Т31, 8 отверстий с герметичными кабельными вводами, IP66/IP67 ПАШК.685552.002</v>
      </c>
      <c r="B1280" s="13" t="str">
        <f ca="1">IFERROR(__xludf.DUMMYFUNCTION("""COMPUTED_VALUE"""),"материал корпуса - АВС")</f>
        <v>материал корпуса - АВС</v>
      </c>
      <c r="C1280" s="14">
        <f ca="1">IFERROR(__xludf.DUMMYFUNCTION("""COMPUTED_VALUE"""),6481.97)</f>
        <v>6481.97</v>
      </c>
      <c r="D1280" s="13"/>
    </row>
    <row r="1281" spans="1:4" ht="25.5">
      <c r="A1281" s="12" t="str">
        <f ca="1">IFERROR(__xludf.DUMMYFUNCTION("""COMPUTED_VALUE"""),"КВСК Север"" АВС.8.ПС.13-18.РМ2, 8 отверстий с герметичными кабельными вводами, IP66/IP67 ПАШК.685552.002")</f>
        <v>КВСК Север" АВС.8.ПС.13-18.РМ2, 8 отверстий с герметичными кабельными вводами, IP66/IP67 ПАШК.685552.002</v>
      </c>
      <c r="B1281" s="13" t="str">
        <f ca="1">IFERROR(__xludf.DUMMYFUNCTION("""COMPUTED_VALUE"""),"материал корпуса - АВС")</f>
        <v>материал корпуса - АВС</v>
      </c>
      <c r="C1281" s="14">
        <f ca="1">IFERROR(__xludf.DUMMYFUNCTION("""COMPUTED_VALUE"""),6481.97)</f>
        <v>6481.97</v>
      </c>
      <c r="D1281" s="13"/>
    </row>
    <row r="1282" spans="1:4" ht="38.25">
      <c r="A1282" s="12" t="str">
        <f ca="1">IFERROR(__xludf.DUMMYFUNCTION("""COMPUTED_VALUE"""),"КВСК Север"" ПЛ.4.ВМ-15.Т31 IP66/IP67 ПАШК.685552.002")</f>
        <v>КВСК Север" ПЛ.4.ВМ-15.Т31 IP66/IP67 ПАШК.685552.002</v>
      </c>
      <c r="B1282" s="13" t="str">
        <f ca="1">IFERROR(__xludf.DUMMYFUNCTION("""COMPUTED_VALUE"""),"в корпусе из полистирола с 4 муфтами ВМ15 под металлорукав с условным проходом 15, с клеммниками Т31.")</f>
        <v>в корпусе из полистирола с 4 муфтами ВМ15 под металлорукав с условным проходом 15, с клеммниками Т31.</v>
      </c>
      <c r="C1282" s="14">
        <f ca="1">IFERROR(__xludf.DUMMYFUNCTION("""COMPUTED_VALUE"""),5329.324)</f>
        <v>5329.3239999999996</v>
      </c>
      <c r="D1282" s="13"/>
    </row>
    <row r="1283" spans="1:4" ht="38.25">
      <c r="A1283" s="12" t="str">
        <f ca="1">IFERROR(__xludf.DUMMYFUNCTION("""COMPUTED_VALUE"""),"УСБ""СЕВЕР""ПЛ.2.МТ.6-12.РМ2 ")</f>
        <v xml:space="preserve">УСБ"СЕВЕР"ПЛ.2.МТ.6-12.РМ2 </v>
      </c>
      <c r="B1283" s="13" t="str">
        <f ca="1">IFERROR(__xludf.DUMMYFUNCTION("""COMPUTED_VALUE"""),"Устройство в корпусе из пластика, 2 металлических кабельных ввода (6-12), тип клеммников - РМ2")</f>
        <v>Устройство в корпусе из пластика, 2 металлических кабельных ввода (6-12), тип клеммников - РМ2</v>
      </c>
      <c r="C1283" s="14">
        <f ca="1">IFERROR(__xludf.DUMMYFUNCTION("""COMPUTED_VALUE"""),3720.145)</f>
        <v>3720.145</v>
      </c>
      <c r="D1283" s="13"/>
    </row>
    <row r="1284" spans="1:4" ht="38.25">
      <c r="A1284" s="12" t="str">
        <f ca="1">IFERROR(__xludf.DUMMYFUNCTION("""COMPUTED_VALUE"""),"УСБ""СЕВЕР""ПЛ.2.МТ.6-12.Т31")</f>
        <v>УСБ"СЕВЕР"ПЛ.2.МТ.6-12.Т31</v>
      </c>
      <c r="B1284" s="13" t="str">
        <f ca="1">IFERROR(__xludf.DUMMYFUNCTION("""COMPUTED_VALUE"""),"Устройство в корпусе из пластика, 2 металлических кабельных ввода (6-12), тип клеммников - Т31")</f>
        <v>Устройство в корпусе из пластика, 2 металлических кабельных ввода (6-12), тип клеммников - Т31</v>
      </c>
      <c r="C1284" s="14">
        <f ca="1">IFERROR(__xludf.DUMMYFUNCTION("""COMPUTED_VALUE"""),3656.994)</f>
        <v>3656.9940000000001</v>
      </c>
      <c r="D1284" s="13"/>
    </row>
    <row r="1285" spans="1:4" ht="38.25">
      <c r="A1285" s="12" t="str">
        <f ca="1">IFERROR(__xludf.DUMMYFUNCTION("""COMPUTED_VALUE"""),"УСБ""СЕВЕР""ПЛ.2.МТ.6-12.DG3 ")</f>
        <v xml:space="preserve">УСБ"СЕВЕР"ПЛ.2.МТ.6-12.DG3 </v>
      </c>
      <c r="B1285" s="13" t="str">
        <f ca="1">IFERROR(__xludf.DUMMYFUNCTION("""COMPUTED_VALUE"""),"Устройство в корпусе из пластика, 2 металлических кабельных ввода (6-12), тип клеммников - DG3")</f>
        <v>Устройство в корпусе из пластика, 2 металлических кабельных ввода (6-12), тип клеммников - DG3</v>
      </c>
      <c r="C1285" s="14">
        <f ca="1">IFERROR(__xludf.DUMMYFUNCTION("""COMPUTED_VALUE"""),3419.768)</f>
        <v>3419.768</v>
      </c>
      <c r="D1285" s="13"/>
    </row>
    <row r="1286" spans="1:4" ht="38.25">
      <c r="A1286" s="12" t="str">
        <f ca="1">IFERROR(__xludf.DUMMYFUNCTION("""COMPUTED_VALUE"""),"УСБ""СЕВЕР""ПЛ.4.МТ.6-12.РМ2 ")</f>
        <v xml:space="preserve">УСБ"СЕВЕР"ПЛ.4.МТ.6-12.РМ2 </v>
      </c>
      <c r="B1286" s="13" t="str">
        <f ca="1">IFERROR(__xludf.DUMMYFUNCTION("""COMPUTED_VALUE"""),"Устройство в корпусе из пластика, 4 металлических кабельных ввода (6-12), тип клеммников - РМ2")</f>
        <v>Устройство в корпусе из пластика, 4 металлических кабельных ввода (6-12), тип клеммников - РМ2</v>
      </c>
      <c r="C1286" s="14">
        <f ca="1">IFERROR(__xludf.DUMMYFUNCTION("""COMPUTED_VALUE"""),7544.108)</f>
        <v>7544.1080000000002</v>
      </c>
      <c r="D1286" s="13"/>
    </row>
    <row r="1287" spans="1:4" ht="38.25">
      <c r="A1287" s="12" t="str">
        <f ca="1">IFERROR(__xludf.DUMMYFUNCTION("""COMPUTED_VALUE"""),"УСБ""СЕВЕР""ПЛ.4.МТ.6-12.Т31")</f>
        <v>УСБ"СЕВЕР"ПЛ.4.МТ.6-12.Т31</v>
      </c>
      <c r="B1287" s="13" t="str">
        <f ca="1">IFERROR(__xludf.DUMMYFUNCTION("""COMPUTED_VALUE"""),"Устройство в корпусе из пластика, 4 металлических кабельных ввода (6-12), тип клеммников - T31")</f>
        <v>Устройство в корпусе из пластика, 4 металлических кабельных ввода (6-12), тип клеммников - T31</v>
      </c>
      <c r="C1287" s="14">
        <f ca="1">IFERROR(__xludf.DUMMYFUNCTION("""COMPUTED_VALUE"""),6092.031)</f>
        <v>6092.0309999999999</v>
      </c>
      <c r="D1287" s="13"/>
    </row>
    <row r="1288" spans="1:4" ht="38.25">
      <c r="A1288" s="12" t="str">
        <f ca="1">IFERROR(__xludf.DUMMYFUNCTION("""COMPUTED_VALUE"""),"УСБ""СЕВЕР""ПЛ.4.МТ.6-12.DG3 ")</f>
        <v xml:space="preserve">УСБ"СЕВЕР"ПЛ.4.МТ.6-12.DG3 </v>
      </c>
      <c r="B1288" s="13" t="str">
        <f ca="1">IFERROR(__xludf.DUMMYFUNCTION("""COMPUTED_VALUE"""),"Устройство в корпусе из пластика, 4 металлических кабельных ввода (6-12), тип клеммников - DG3")</f>
        <v>Устройство в корпусе из пластика, 4 металлических кабельных ввода (6-12), тип клеммников - DG3</v>
      </c>
      <c r="C1288" s="14">
        <f ca="1">IFERROR(__xludf.DUMMYFUNCTION("""COMPUTED_VALUE"""),5877.828)</f>
        <v>5877.8280000000004</v>
      </c>
      <c r="D1288" s="13"/>
    </row>
    <row r="1289" spans="1:4" ht="38.25">
      <c r="A1289" s="12" t="str">
        <f ca="1">IFERROR(__xludf.DUMMYFUNCTION("""COMPUTED_VALUE"""),"УСБ""СЕВЕР""ПЛ.6.МТ.6-12.РМ2 ")</f>
        <v xml:space="preserve">УСБ"СЕВЕР"ПЛ.6.МТ.6-12.РМ2 </v>
      </c>
      <c r="B1289" s="13" t="str">
        <f ca="1">IFERROR(__xludf.DUMMYFUNCTION("""COMPUTED_VALUE"""),"Устройство в корпусе из пластика, 6 металлических кабельных вводов (6-12), тип клеммников - РМ2")</f>
        <v>Устройство в корпусе из пластика, 6 металлических кабельных вводов (6-12), тип клеммников - РМ2</v>
      </c>
      <c r="C1289" s="14">
        <f ca="1">IFERROR(__xludf.DUMMYFUNCTION("""COMPUTED_VALUE"""),8616.894)</f>
        <v>8616.8940000000002</v>
      </c>
      <c r="D1289" s="13"/>
    </row>
    <row r="1290" spans="1:4" ht="38.25">
      <c r="A1290" s="12" t="str">
        <f ca="1">IFERROR(__xludf.DUMMYFUNCTION("""COMPUTED_VALUE"""),"УСБ""СЕВЕР""ПЛ.6.МТ.6-12.Т31 ")</f>
        <v xml:space="preserve">УСБ"СЕВЕР"ПЛ.6.МТ.6-12.Т31 </v>
      </c>
      <c r="B1290" s="13" t="str">
        <f ca="1">IFERROR(__xludf.DUMMYFUNCTION("""COMPUTED_VALUE"""),"Устройство в корпусе из пластика, 6 металлических кабельных вводов (6-12), тип клеммников - T31")</f>
        <v>Устройство в корпусе из пластика, 6 металлических кабельных вводов (6-12), тип клеммников - T31</v>
      </c>
      <c r="C1290" s="14">
        <f ca="1">IFERROR(__xludf.DUMMYFUNCTION("""COMPUTED_VALUE"""),8573.642)</f>
        <v>8573.6419999999998</v>
      </c>
      <c r="D1290" s="13"/>
    </row>
    <row r="1291" spans="1:4" ht="38.25">
      <c r="A1291" s="12" t="str">
        <f ca="1">IFERROR(__xludf.DUMMYFUNCTION("""COMPUTED_VALUE"""),"УСБ""СЕВЕР""ПЛ.6.МТ.6-12.DG3 ")</f>
        <v xml:space="preserve">УСБ"СЕВЕР"ПЛ.6.МТ.6-12.DG3 </v>
      </c>
      <c r="B1291" s="13" t="str">
        <f ca="1">IFERROR(__xludf.DUMMYFUNCTION("""COMPUTED_VALUE"""),"Устройство в корпусе из пластика, 6 металлических кабельных вводов (6-12), тип клеммников - DG3")</f>
        <v>Устройство в корпусе из пластика, 6 металлических кабельных вводов (6-12), тип клеммников - DG3</v>
      </c>
      <c r="C1291" s="14">
        <f ca="1">IFERROR(__xludf.DUMMYFUNCTION("""COMPUTED_VALUE"""),8305.44)</f>
        <v>8305.44</v>
      </c>
      <c r="D1291" s="13"/>
    </row>
    <row r="1292" spans="1:4" ht="38.25">
      <c r="A1292" s="12" t="str">
        <f ca="1">IFERROR(__xludf.DUMMYFUNCTION("""COMPUTED_VALUE"""),"УСБ""СЕВЕР""ПЛ.2.ПС.6-12.РМ2 ")</f>
        <v xml:space="preserve">УСБ"СЕВЕР"ПЛ.2.ПС.6-12.РМ2 </v>
      </c>
      <c r="B1292" s="13" t="str">
        <f ca="1">IFERROR(__xludf.DUMMYFUNCTION("""COMPUTED_VALUE"""),"Устройство в корпусе из пластика, 2 пластиковых кабельных ввода (6-12), тип клеммников - РМ2")</f>
        <v>Устройство в корпусе из пластика, 2 пластиковых кабельных ввода (6-12), тип клеммников - РМ2</v>
      </c>
      <c r="C1292" s="14">
        <f ca="1">IFERROR(__xludf.DUMMYFUNCTION("""COMPUTED_VALUE"""),1896.29)</f>
        <v>1896.29</v>
      </c>
      <c r="D1292" s="13"/>
    </row>
    <row r="1293" spans="1:4" ht="38.25">
      <c r="A1293" s="12" t="str">
        <f ca="1">IFERROR(__xludf.DUMMYFUNCTION("""COMPUTED_VALUE"""),"УСБ""СЕВЕР""ПЛ.2.ПС.13-18.РМ2 ")</f>
        <v xml:space="preserve">УСБ"СЕВЕР"ПЛ.2.ПС.13-18.РМ2 </v>
      </c>
      <c r="B1293" s="13" t="str">
        <f ca="1">IFERROR(__xludf.DUMMYFUNCTION("""COMPUTED_VALUE"""),"Устройство в корпусе из пластика, 2 пластиковых кабельных ввода (13-18), тип клеммников - РМ2")</f>
        <v>Устройство в корпусе из пластика, 2 пластиковых кабельных ввода (13-18), тип клеммников - РМ2</v>
      </c>
      <c r="C1293" s="14">
        <f ca="1">IFERROR(__xludf.DUMMYFUNCTION("""COMPUTED_VALUE"""),1896.2878)</f>
        <v>1896.2878000000001</v>
      </c>
      <c r="D1293" s="13"/>
    </row>
    <row r="1294" spans="1:4" ht="38.25">
      <c r="A1294" s="12" t="str">
        <f ca="1">IFERROR(__xludf.DUMMYFUNCTION("""COMPUTED_VALUE"""),"УСБ""СЕВЕР"" ПЛ.2.ПС.6-12.Т31 ")</f>
        <v xml:space="preserve">УСБ"СЕВЕР" ПЛ.2.ПС.6-12.Т31 </v>
      </c>
      <c r="B1294" s="13" t="str">
        <f ca="1">IFERROR(__xludf.DUMMYFUNCTION("""COMPUTED_VALUE"""),"Устройство в корпусе из пластика, 2 пластиковых кабельных ввода (6-12), тип клеммников - Т31")</f>
        <v>Устройство в корпусе из пластика, 2 пластиковых кабельных ввода (6-12), тип клеммников - Т31</v>
      </c>
      <c r="C1294" s="14">
        <f ca="1">IFERROR(__xludf.DUMMYFUNCTION("""COMPUTED_VALUE"""),1817.6862)</f>
        <v>1817.6862000000001</v>
      </c>
      <c r="D1294" s="13"/>
    </row>
    <row r="1295" spans="1:4" ht="38.25">
      <c r="A1295" s="12" t="str">
        <f ca="1">IFERROR(__xludf.DUMMYFUNCTION("""COMPUTED_VALUE"""),"УСБ""СЕВЕР""ПЛ.2.ПС.13-18.Т31 ")</f>
        <v xml:space="preserve">УСБ"СЕВЕР"ПЛ.2.ПС.13-18.Т31 </v>
      </c>
      <c r="B1295" s="13" t="str">
        <f ca="1">IFERROR(__xludf.DUMMYFUNCTION("""COMPUTED_VALUE"""),"Устройство в корпусе из пластика, 2 пластиковых кабельных ввода (13-18), тип клеммников - Т31")</f>
        <v>Устройство в корпусе из пластика, 2 пластиковых кабельных ввода (13-18), тип клеммников - Т31</v>
      </c>
      <c r="C1295" s="14">
        <f ca="1">IFERROR(__xludf.DUMMYFUNCTION("""COMPUTED_VALUE"""),1817.6862)</f>
        <v>1817.6862000000001</v>
      </c>
      <c r="D1295" s="13"/>
    </row>
    <row r="1296" spans="1:4" ht="38.25">
      <c r="A1296" s="12" t="str">
        <f ca="1">IFERROR(__xludf.DUMMYFUNCTION("""COMPUTED_VALUE"""),"УСБ""СЕВЕР""ПЛ.2.ПС.6-12.DG3 ")</f>
        <v xml:space="preserve">УСБ"СЕВЕР"ПЛ.2.ПС.6-12.DG3 </v>
      </c>
      <c r="B1296" s="13" t="str">
        <f ca="1">IFERROR(__xludf.DUMMYFUNCTION("""COMPUTED_VALUE"""),"Устройство в корпусе из пластика, 2 пластиковых кабельных ввода (6-12), тип клеммников - DG3")</f>
        <v>Устройство в корпусе из пластика, 2 пластиковых кабельных ввода (6-12), тип клеммников - DG3</v>
      </c>
      <c r="C1296" s="14">
        <f ca="1">IFERROR(__xludf.DUMMYFUNCTION("""COMPUTED_VALUE"""),1526.4755)</f>
        <v>1526.4755</v>
      </c>
      <c r="D1296" s="13"/>
    </row>
    <row r="1297" spans="1:4" ht="38.25">
      <c r="A1297" s="12" t="str">
        <f ca="1">IFERROR(__xludf.DUMMYFUNCTION("""COMPUTED_VALUE"""),"УСБ""СЕВЕР""ПЛ.2.ПС.13-18.DG3 ")</f>
        <v xml:space="preserve">УСБ"СЕВЕР"ПЛ.2.ПС.13-18.DG3 </v>
      </c>
      <c r="B1297" s="13" t="str">
        <f ca="1">IFERROR(__xludf.DUMMYFUNCTION("""COMPUTED_VALUE"""),"Устройство в корпусе из пластика, 2 пластиковых кабельных ввода (13-18), тип клеммников - DG3")</f>
        <v>Устройство в корпусе из пластика, 2 пластиковых кабельных ввода (13-18), тип клеммников - DG3</v>
      </c>
      <c r="C1297" s="14">
        <f ca="1">IFERROR(__xludf.DUMMYFUNCTION("""COMPUTED_VALUE"""),1526.4755)</f>
        <v>1526.4755</v>
      </c>
      <c r="D1297" s="13"/>
    </row>
    <row r="1298" spans="1:4" ht="38.25">
      <c r="A1298" s="12" t="str">
        <f ca="1">IFERROR(__xludf.DUMMYFUNCTION("""COMPUTED_VALUE"""),"УСБ""СЕВЕР""ПЛ.4.ПС.6-12.РМ2 ")</f>
        <v xml:space="preserve">УСБ"СЕВЕР"ПЛ.4.ПС.6-12.РМ2 </v>
      </c>
      <c r="B1298" s="13" t="str">
        <f ca="1">IFERROR(__xludf.DUMMYFUNCTION("""COMPUTED_VALUE"""),"Устройство в корпусе из пластика, 4 пластиковых кабельных ввода (6-12), тип клеммников - РМ2")</f>
        <v>Устройство в корпусе из пластика, 4 пластиковых кабельных ввода (6-12), тип клеммников - РМ2</v>
      </c>
      <c r="C1298" s="14">
        <f ca="1">IFERROR(__xludf.DUMMYFUNCTION("""COMPUTED_VALUE"""),1964.2414)</f>
        <v>1964.2414000000001</v>
      </c>
      <c r="D1298" s="13"/>
    </row>
    <row r="1299" spans="1:4" ht="38.25">
      <c r="A1299" s="12" t="str">
        <f ca="1">IFERROR(__xludf.DUMMYFUNCTION("""COMPUTED_VALUE"""),"УСБ""СЕВЕР""ПЛ.4.ПС.13-18.РМ2 ")</f>
        <v xml:space="preserve">УСБ"СЕВЕР"ПЛ.4.ПС.13-18.РМ2 </v>
      </c>
      <c r="B1299" s="13" t="str">
        <f ca="1">IFERROR(__xludf.DUMMYFUNCTION("""COMPUTED_VALUE"""),"Устройство в корпусе из пластика, 4 пластиковых кабельных ввода (13-18), тип клеммников - РМ3")</f>
        <v>Устройство в корпусе из пластика, 4 пластиковых кабельных ввода (13-18), тип клеммников - РМ3</v>
      </c>
      <c r="C1299" s="14">
        <f ca="1">IFERROR(__xludf.DUMMYFUNCTION("""COMPUTED_VALUE"""),1964.2414)</f>
        <v>1964.2414000000001</v>
      </c>
      <c r="D1299" s="13"/>
    </row>
    <row r="1300" spans="1:4" ht="38.25">
      <c r="A1300" s="12" t="str">
        <f ca="1">IFERROR(__xludf.DUMMYFUNCTION("""COMPUTED_VALUE"""),"УСБ""СЕВЕР""ПЛ.4.ПС.6-12.Т31 ")</f>
        <v xml:space="preserve">УСБ"СЕВЕР"ПЛ.4.ПС.6-12.Т31 </v>
      </c>
      <c r="B1300" s="13" t="str">
        <f ca="1">IFERROR(__xludf.DUMMYFUNCTION("""COMPUTED_VALUE"""),"Устройство в корпусе из пластика, 4 пластиковых кабельных ввода (6-12), тип клеммников - T31")</f>
        <v>Устройство в корпусе из пластика, 4 пластиковых кабельных ввода (6-12), тип клеммников - T31</v>
      </c>
      <c r="C1300" s="14">
        <f ca="1">IFERROR(__xludf.DUMMYFUNCTION("""COMPUTED_VALUE"""),1697.7752)</f>
        <v>1697.7752</v>
      </c>
      <c r="D1300" s="13"/>
    </row>
    <row r="1301" spans="1:4" ht="38.25">
      <c r="A1301" s="12" t="str">
        <f ca="1">IFERROR(__xludf.DUMMYFUNCTION("""COMPUTED_VALUE"""),"УСБ""СЕВЕР""ПЛ.4.ПС.13-18.Т31 ")</f>
        <v xml:space="preserve">УСБ"СЕВЕР"ПЛ.4.ПС.13-18.Т31 </v>
      </c>
      <c r="B1301" s="13" t="str">
        <f ca="1">IFERROR(__xludf.DUMMYFUNCTION("""COMPUTED_VALUE"""),"Устройство в корпусе из пластика, 4 пластиковых кабельных ввода (13-18), тип клеммников - T31")</f>
        <v>Устройство в корпусе из пластика, 4 пластиковых кабельных ввода (13-18), тип клеммников - T31</v>
      </c>
      <c r="C1301" s="14">
        <f ca="1">IFERROR(__xludf.DUMMYFUNCTION("""COMPUTED_VALUE"""),1697.7752)</f>
        <v>1697.7752</v>
      </c>
      <c r="D1301" s="13"/>
    </row>
    <row r="1302" spans="1:4" ht="38.25">
      <c r="A1302" s="12" t="str">
        <f ca="1">IFERROR(__xludf.DUMMYFUNCTION("""COMPUTED_VALUE"""),"УСБ""СЕВЕР""ПЛ.4.ПС.6-12.DG3 ")</f>
        <v xml:space="preserve">УСБ"СЕВЕР"ПЛ.4.ПС.6-12.DG3 </v>
      </c>
      <c r="B1302" s="13" t="str">
        <f ca="1">IFERROR(__xludf.DUMMYFUNCTION("""COMPUTED_VALUE"""),"Устройство в корпусе из пластика, 4 пластиковых кабельных ввода (6-12), тип клеммников - DG3")</f>
        <v>Устройство в корпусе из пластика, 4 пластиковых кабельных ввода (6-12), тип клеммников - DG3</v>
      </c>
      <c r="C1302" s="14">
        <f ca="1">IFERROR(__xludf.DUMMYFUNCTION("""COMPUTED_VALUE"""),1697.7752)</f>
        <v>1697.7752</v>
      </c>
      <c r="D1302" s="13"/>
    </row>
    <row r="1303" spans="1:4" ht="38.25">
      <c r="A1303" s="12" t="str">
        <f ca="1">IFERROR(__xludf.DUMMYFUNCTION("""COMPUTED_VALUE"""),"УСБ""СЕВЕР""ПЛ.4.ПС.13-18.DG3 ")</f>
        <v xml:space="preserve">УСБ"СЕВЕР"ПЛ.4.ПС.13-18.DG3 </v>
      </c>
      <c r="B1303" s="13" t="str">
        <f ca="1">IFERROR(__xludf.DUMMYFUNCTION("""COMPUTED_VALUE"""),"Устройство в корпусе из пластика, 4 пластиковых кабельных ввода (13-18), тип клеммников - DG3")</f>
        <v>Устройство в корпусе из пластика, 4 пластиковых кабельных ввода (13-18), тип клеммников - DG3</v>
      </c>
      <c r="C1303" s="14">
        <f ca="1">IFERROR(__xludf.DUMMYFUNCTION("""COMPUTED_VALUE"""),1697.7752)</f>
        <v>1697.7752</v>
      </c>
      <c r="D1303" s="13"/>
    </row>
    <row r="1304" spans="1:4" ht="38.25">
      <c r="A1304" s="12" t="str">
        <f ca="1">IFERROR(__xludf.DUMMYFUNCTION("""COMPUTED_VALUE"""),"УСБ""СЕВЕР""ПЛ.6.ПС.6-12.РМ2 ")</f>
        <v xml:space="preserve">УСБ"СЕВЕР"ПЛ.6.ПС.6-12.РМ2 </v>
      </c>
      <c r="B1304" s="13" t="str">
        <f ca="1">IFERROR(__xludf.DUMMYFUNCTION("""COMPUTED_VALUE"""),"Устройство в корпусе из пластика, 6 пластиковых кабельных вводов (6-12), тип клеммников - РМ2")</f>
        <v>Устройство в корпусе из пластика, 6 пластиковых кабельных вводов (6-12), тип клеммников - РМ2</v>
      </c>
      <c r="C1304" s="14">
        <f ca="1">IFERROR(__xludf.DUMMYFUNCTION("""COMPUTED_VALUE"""),2068.9185)</f>
        <v>2068.9185000000002</v>
      </c>
      <c r="D1304" s="13"/>
    </row>
    <row r="1305" spans="1:4" ht="38.25">
      <c r="A1305" s="12" t="str">
        <f ca="1">IFERROR(__xludf.DUMMYFUNCTION("""COMPUTED_VALUE"""),"УСБ""СЕВЕР""ПЛ.6.ПС.13-18.РМ2 ")</f>
        <v xml:space="preserve">УСБ"СЕВЕР"ПЛ.6.ПС.13-18.РМ2 </v>
      </c>
      <c r="B1305" s="13" t="str">
        <f ca="1">IFERROR(__xludf.DUMMYFUNCTION("""COMPUTED_VALUE"""),"Устройство в корпусе из пластика, 6 пластиковых кабельных вводов (13-18), тип клеммников - РМ2")</f>
        <v>Устройство в корпусе из пластика, 6 пластиковых кабельных вводов (13-18), тип клеммников - РМ2</v>
      </c>
      <c r="C1305" s="14">
        <f ca="1">IFERROR(__xludf.DUMMYFUNCTION("""COMPUTED_VALUE"""),2068.9185)</f>
        <v>2068.9185000000002</v>
      </c>
      <c r="D1305" s="13"/>
    </row>
    <row r="1306" spans="1:4" ht="38.25">
      <c r="A1306" s="12" t="str">
        <f ca="1">IFERROR(__xludf.DUMMYFUNCTION("""COMPUTED_VALUE"""),"УСБ""СЕВЕР""ПЛ.6.ПС.6-12.Т31 ")</f>
        <v xml:space="preserve">УСБ"СЕВЕР"ПЛ.6.ПС.6-12.Т31 </v>
      </c>
      <c r="B1306" s="13" t="str">
        <f ca="1">IFERROR(__xludf.DUMMYFUNCTION("""COMPUTED_VALUE"""),"Устройство в корпусе из пластика, 6 пластиковых кабельных вводов (6-12), тип клеммников - T31")</f>
        <v>Устройство в корпусе из пластика, 6 пластиковых кабельных вводов (6-12), тип клеммников - T31</v>
      </c>
      <c r="C1306" s="14">
        <f ca="1">IFERROR(__xludf.DUMMYFUNCTION("""COMPUTED_VALUE"""),2002.308)</f>
        <v>2002.308</v>
      </c>
      <c r="D1306" s="13"/>
    </row>
    <row r="1307" spans="1:4" ht="38.25">
      <c r="A1307" s="12" t="str">
        <f ca="1">IFERROR(__xludf.DUMMYFUNCTION("""COMPUTED_VALUE"""),"УСБ""СЕВЕР""ПЛ.6.ПС.13-18.Т31 ")</f>
        <v xml:space="preserve">УСБ"СЕВЕР"ПЛ.6.ПС.13-18.Т31 </v>
      </c>
      <c r="B1307" s="13" t="str">
        <f ca="1">IFERROR(__xludf.DUMMYFUNCTION("""COMPUTED_VALUE"""),"Устройство в корпусе из пластика, 6 пластиковых кабельных вводов (13-18), тип клеммников - T31")</f>
        <v>Устройство в корпусе из пластика, 6 пластиковых кабельных вводов (13-18), тип клеммников - T31</v>
      </c>
      <c r="C1307" s="14">
        <f ca="1">IFERROR(__xludf.DUMMYFUNCTION("""COMPUTED_VALUE"""),2002.308)</f>
        <v>2002.308</v>
      </c>
      <c r="D1307" s="13"/>
    </row>
    <row r="1308" spans="1:4" ht="38.25">
      <c r="A1308" s="12" t="str">
        <f ca="1">IFERROR(__xludf.DUMMYFUNCTION("""COMPUTED_VALUE"""),"УСБ""СЕВЕР""ПЛ.6.ПС.6-12.DG3 ")</f>
        <v xml:space="preserve">УСБ"СЕВЕР"ПЛ.6.ПС.6-12.DG3 </v>
      </c>
      <c r="B1308" s="13" t="str">
        <f ca="1">IFERROR(__xludf.DUMMYFUNCTION("""COMPUTED_VALUE"""),"Устройство в корпусе из пластика, 6 пластиковых кабельных вводов (6-12), тип клеммников - DG3")</f>
        <v>Устройство в корпусе из пластика, 6 пластиковых кабельных вводов (6-12), тип клеммников - DG3</v>
      </c>
      <c r="C1308" s="14">
        <f ca="1">IFERROR(__xludf.DUMMYFUNCTION("""COMPUTED_VALUE"""),1712.997)</f>
        <v>1712.9970000000001</v>
      </c>
      <c r="D1308" s="13"/>
    </row>
    <row r="1309" spans="1:4" ht="38.25">
      <c r="A1309" s="12" t="str">
        <f ca="1">IFERROR(__xludf.DUMMYFUNCTION("""COMPUTED_VALUE"""),"УСБ""СЕВЕР""ПЛ.6.ПС.13-18.DG3 ")</f>
        <v xml:space="preserve">УСБ"СЕВЕР"ПЛ.6.ПС.13-18.DG3 </v>
      </c>
      <c r="B1309" s="13" t="str">
        <f ca="1">IFERROR(__xludf.DUMMYFUNCTION("""COMPUTED_VALUE"""),"Устройство в корпусе из пластика, 6 пластиковых кабельных вводов (13-18), тип клеммников - DG3")</f>
        <v>Устройство в корпусе из пластика, 6 пластиковых кабельных вводов (13-18), тип клеммников - DG3</v>
      </c>
      <c r="C1309" s="14">
        <f ca="1">IFERROR(__xludf.DUMMYFUNCTION("""COMPUTED_VALUE"""),1712.997)</f>
        <v>1712.9970000000001</v>
      </c>
      <c r="D1309" s="13"/>
    </row>
    <row r="1310" spans="1:4" ht="38.25">
      <c r="A1310" s="12" t="str">
        <f ca="1">IFERROR(__xludf.DUMMYFUNCTION("""COMPUTED_VALUE"""),"УСБ ""Север"" коробка соединительная глухая IP66 ")</f>
        <v xml:space="preserve">УСБ "Север" коробка соединительная глухая IP66 </v>
      </c>
      <c r="B1310" s="13" t="str">
        <f ca="1">IFERROR(__xludf.DUMMYFUNCTION("""COMPUTED_VALUE"""),"Глухая коробка без отверстий, герметизация по периметру - силикон, 120х103х67 (без клеммников и платы)")</f>
        <v>Глухая коробка без отверстий, герметизация по периметру - силикон, 120х103х67 (без клеммников и платы)</v>
      </c>
      <c r="C1310" s="14">
        <f ca="1">IFERROR(__xludf.DUMMYFUNCTION("""COMPUTED_VALUE"""),1110.0298)</f>
        <v>1110.0298</v>
      </c>
      <c r="D1310" s="13"/>
    </row>
    <row r="1311" spans="1:4" ht="38.25">
      <c r="A1311" s="12" t="str">
        <f ca="1">IFERROR(__xludf.DUMMYFUNCTION("""COMPUTED_VALUE"""),"УСБ ""Север"" коробка соединительная глухая IP66 ")</f>
        <v xml:space="preserve">УСБ "Север" коробка соединительная глухая IP66 </v>
      </c>
      <c r="B1311" s="13" t="str">
        <f ca="1">IFERROR(__xludf.DUMMYFUNCTION("""COMPUTED_VALUE"""),"Глухая коробки без отверстий, герметизация по периметру - силикон, 120х103х50 (без клеммников и платы)")</f>
        <v>Глухая коробки без отверстий, герметизация по периметру - силикон, 120х103х50 (без клеммников и платы)</v>
      </c>
      <c r="C1311" s="14">
        <f ca="1">IFERROR(__xludf.DUMMYFUNCTION("""COMPUTED_VALUE"""),1084.8981)</f>
        <v>1084.8981000000001</v>
      </c>
      <c r="D1311" s="13"/>
    </row>
    <row r="1312" spans="1:4" ht="51">
      <c r="A1312" s="12" t="str">
        <f ca="1">IFERROR(__xludf.DUMMYFUNCTION("""COMPUTED_VALUE"""),"УСБ ""Север"" коробка соединительная глухая IP66, две  DIN-рейки ")</f>
        <v xml:space="preserve">УСБ "Север" коробка соединительная глухая IP66, две  DIN-рейки </v>
      </c>
      <c r="B1312" s="13" t="str">
        <f ca="1">IFERROR(__xludf.DUMMYFUNCTION("""COMPUTED_VALUE"""),"Глухая коробки без отверстий, герметизация по периметру - силикон, 120х103х50 (без клеммников и платы), две  DIN-рейки")</f>
        <v>Глухая коробки без отверстий, герметизация по периметру - силикон, 120х103х50 (без клеммников и платы), две  DIN-рейки</v>
      </c>
      <c r="C1312" s="14">
        <f ca="1">IFERROR(__xludf.DUMMYFUNCTION("""COMPUTED_VALUE"""),1197.9)</f>
        <v>1197.9000000000001</v>
      </c>
      <c r="D1312" s="13"/>
    </row>
    <row r="1313" spans="1:4" ht="25.5">
      <c r="A1313" s="12" t="str">
        <f ca="1">IFERROR(__xludf.DUMMYFUNCTION("""COMPUTED_VALUE"""),"УСБ ""Север"" коробка с 2 кабельными вводами IP66 ")</f>
        <v xml:space="preserve">УСБ "Север" коробка с 2 кабельными вводами IP66 </v>
      </c>
      <c r="B1313" s="13" t="str">
        <f ca="1">IFERROR(__xludf.DUMMYFUNCTION("""COMPUTED_VALUE"""),"коробка с 2 кабельными вводами (без клеммников и платы)")</f>
        <v>коробка с 2 кабельными вводами (без клеммников и платы)</v>
      </c>
      <c r="C1313" s="14">
        <f ca="1">IFERROR(__xludf.DUMMYFUNCTION("""COMPUTED_VALUE"""),1189.5873)</f>
        <v>1189.5872999999999</v>
      </c>
      <c r="D1313" s="13"/>
    </row>
    <row r="1314" spans="1:4" ht="63.75">
      <c r="A1314" s="12" t="str">
        <f ca="1">IFERROR(__xludf.DUMMYFUNCTION("""COMPUTED_VALUE"""),"УСБ ""Север"" коробка с 2 кабельными вводами IP66, с клеммниками REXANT ")</f>
        <v xml:space="preserve">УСБ "Север" коробка с 2 кабельными вводами IP66, с клеммниками REXANT </v>
      </c>
      <c r="B1314" s="13" t="str">
        <f ca="1">IFERROR(__xludf.DUMMYFUNCTION("""COMPUTED_VALUE"""),"коробка с 2 кабельными вводами ПКВ20х1,5 (под кабель от 6 до 14 мм ), 120х103х50 (без клеммников и платы), до 14 проходных клемм с рычажком (под жилу 0,08-4 мм2)")</f>
        <v>коробка с 2 кабельными вводами ПКВ20х1,5 (под кабель от 6 до 14 мм ), 120х103х50 (без клеммников и платы), до 14 проходных клемм с рычажком (под жилу 0,08-4 мм2)</v>
      </c>
      <c r="C1314" s="14">
        <f ca="1">IFERROR(__xludf.DUMMYFUNCTION("""COMPUTED_VALUE"""),2371.6)</f>
        <v>2371.6</v>
      </c>
      <c r="D1314" s="13"/>
    </row>
    <row r="1315" spans="1:4" ht="25.5">
      <c r="A1315" s="12" t="str">
        <f ca="1">IFERROR(__xludf.DUMMYFUNCTION("""COMPUTED_VALUE"""),"УСБ ""Север"" коробка с 4 кабельными вводамим IP66 ")</f>
        <v xml:space="preserve">УСБ "Север" коробка с 4 кабельными вводамим IP66 </v>
      </c>
      <c r="B1315" s="13" t="str">
        <f ca="1">IFERROR(__xludf.DUMMYFUNCTION("""COMPUTED_VALUE"""),"коробка с 4 кабельными вводами (без клеммников и платы)")</f>
        <v>коробка с 4 кабельными вводами (без клеммников и платы)</v>
      </c>
      <c r="C1315" s="14">
        <f ca="1">IFERROR(__xludf.DUMMYFUNCTION("""COMPUTED_VALUE"""),1261.909)</f>
        <v>1261.9090000000001</v>
      </c>
      <c r="D1315" s="13"/>
    </row>
    <row r="1316" spans="1:4" ht="25.5">
      <c r="A1316" s="12" t="str">
        <f ca="1">IFERROR(__xludf.DUMMYFUNCTION("""COMPUTED_VALUE"""),"УСБ ""Север"" коробка с 6 кабельными вводами IP66")</f>
        <v>УСБ "Север" коробка с 6 кабельными вводами IP66</v>
      </c>
      <c r="B1316" s="13" t="str">
        <f ca="1">IFERROR(__xludf.DUMMYFUNCTION("""COMPUTED_VALUE"""),"коробка с 6 кабельными вводами (без клеммников и платы)")</f>
        <v>коробка с 6 кабельными вводами (без клеммников и платы)</v>
      </c>
      <c r="C1316" s="14">
        <f ca="1">IFERROR(__xludf.DUMMYFUNCTION("""COMPUTED_VALUE"""),1336.1425)</f>
        <v>1336.1424999999999</v>
      </c>
      <c r="D1316" s="13"/>
    </row>
    <row r="1317" spans="1:4" ht="38.25">
      <c r="A1317" s="12" t="str">
        <f ca="1">IFERROR(__xludf.DUMMYFUNCTION("""COMPUTED_VALUE"""),"КВСК ""Север"" IP66/IP67 ПАШК.685552.002 ТУ")</f>
        <v>КВСК "Север" IP66/IP67 ПАШК.685552.002 ТУ</v>
      </c>
      <c r="B1317" s="13" t="str">
        <f ca="1">IFERROR(__xludf.DUMMYFUNCTION("""COMPUTED_VALUE"""),"Глухая коробка без отверстий, герметизация по периметру - силикон. (без клеммников и платы)")</f>
        <v>Глухая коробка без отверстий, герметизация по периметру - силикон. (без клеммников и платы)</v>
      </c>
      <c r="C1317" s="14">
        <f ca="1">IFERROR(__xludf.DUMMYFUNCTION("""COMPUTED_VALUE"""),2625.7)</f>
        <v>2625.7</v>
      </c>
      <c r="D1317" s="13"/>
    </row>
    <row r="1318" spans="1:4" ht="76.5">
      <c r="A1318" s="12" t="str">
        <f ca="1">IFERROR(__xludf.DUMMYFUNCTION("""COMPUTED_VALUE"""),"КВСК ""Север"" IP66/IP67 8 отверстий с герметичными кабельными вводами, IP55, с DIN-рейкой  ")</f>
        <v xml:space="preserve">КВСК "Север" IP66/IP67 8 отверстий с герметичными кабельными вводами, IP55, с DIN-рейкой  </v>
      </c>
      <c r="B1318" s="13" t="str">
        <f ca="1">IFERROR(__xludf.DUMMYFUNCTION("""COMPUTED_VALUE"""),"Глухая коробка без отверстий, герметизация по периметру - силикон. (без клеммников и платы) Корпус из пластика, 302х164х93мм, 8 кабельных вводов ПКВ20х1,5 (под кабель от 6 до 14 мм ), DIN-рейка")</f>
        <v>Глухая коробка без отверстий, герметизация по периметру - силикон. (без клеммников и платы) Корпус из пластика, 302х164х93мм, 8 кабельных вводов ПКВ20х1,5 (под кабель от 6 до 14 мм ), DIN-рейка</v>
      </c>
      <c r="C1318" s="14">
        <f ca="1">IFERROR(__xludf.DUMMYFUNCTION("""COMPUTED_VALUE"""),3267)</f>
        <v>3267</v>
      </c>
      <c r="D1318" s="13"/>
    </row>
    <row r="1319" spans="1:4" ht="63.75">
      <c r="A1319" s="12" t="str">
        <f ca="1">IFERROR(__xludf.DUMMYFUNCTION("""COMPUTED_VALUE"""),"КВСК «Север» REXANT, 8 отверстий с герметичными кабельными вводами, IP66/IP67 ")</f>
        <v xml:space="preserve">КВСК «Север» REXANT, 8 отверстий с герметичными кабельными вводами, IP66/IP67 </v>
      </c>
      <c r="B1319" s="13" t="str">
        <f ca="1">IFERROR(__xludf.DUMMYFUNCTION("""COMPUTED_VALUE"""),"Корпус из пластика, 302х164х93мм, 8 кабельных вводов ПКВ20х1,5 (под кабель от 6 до 14 мм ), DIN-рейка, до 26 проходных клеммы с рычажком (под жилу 0,08-4 мм2)")</f>
        <v>Корпус из пластика, 302х164х93мм, 8 кабельных вводов ПКВ20х1,5 (под кабель от 6 до 14 мм ), DIN-рейка, до 26 проходных клеммы с рычажком (под жилу 0,08-4 мм2)</v>
      </c>
      <c r="C1319" s="14">
        <f ca="1">IFERROR(__xludf.DUMMYFUNCTION("""COMPUTED_VALUE"""),5469.2)</f>
        <v>5469.2</v>
      </c>
      <c r="D1319" s="13"/>
    </row>
    <row r="1320" spans="1:4" ht="38.25">
      <c r="A1320" s="12" t="str">
        <f ca="1">IFERROR(__xludf.DUMMYFUNCTION("""COMPUTED_VALUE"""),"УС-4 Коробка соединительная глухая IP65 ")</f>
        <v xml:space="preserve">УС-4 Коробка соединительная глухая IP65 </v>
      </c>
      <c r="B1320" s="13" t="str">
        <f ca="1">IFERROR(__xludf.DUMMYFUNCTION("""COMPUTED_VALUE"""),"Глухая коробка без отверстий, герметизация по периметру - силикон, 60х60х30 (без клеммников и платы)")</f>
        <v>Глухая коробка без отверстий, герметизация по периметру - силикон, 60х60х30 (без клеммников и платы)</v>
      </c>
      <c r="C1320" s="14">
        <f ca="1">IFERROR(__xludf.DUMMYFUNCTION("""COMPUTED_VALUE"""),143.8932)</f>
        <v>143.89320000000001</v>
      </c>
      <c r="D1320" s="13"/>
    </row>
    <row r="1321" spans="1:4" ht="153">
      <c r="A1321" s="12" t="str">
        <f ca="1">IFERROR(__xludf.DUMMYFUNCTION("""COMPUTED_VALUE"""),"Тампер вскрытия АЯКС")</f>
        <v>Тампер вскрытия АЯКС</v>
      </c>
      <c r="B1321" s="13" t="str">
        <f ca="1">IFERROR(__xludf.DUMMYFUNCTION("""COMPUTED_VALUE"""),"предназначен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нажатии) с присоединенными выводами 30 см* (* по требованию "&amp;"Потребителя возможно изготовление тампера с выводами другой длины и нормально-замкнутыми (NC) контактами, или (NO/NC) контактами)")</f>
        <v>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нажатии) с присоединенными выводами 30 см* (* по требованию Потребителя возможно изготовление тампера с выводами другой длины и нормально-замкнутыми (NC) контактами, или (NO/NC) контактами)</v>
      </c>
      <c r="C1321" s="14">
        <f ca="1">IFERROR(__xludf.DUMMYFUNCTION("""COMPUTED_VALUE"""),290.4)</f>
        <v>290.39999999999998</v>
      </c>
      <c r="D1321" s="13"/>
    </row>
    <row r="1322" spans="1:4" ht="165.75">
      <c r="A1322" s="12" t="str">
        <f ca="1">IFERROR(__xludf.DUMMYFUNCTION("""COMPUTED_VALUE"""),"Тампер вскрытия МОРОЗ")</f>
        <v>Тампер вскрытия МОРОЗ</v>
      </c>
      <c r="B1322" s="13" t="str">
        <f ca="1">IFERROR(__xludf.DUMMYFUNCTION("""COMPUTED_VALUE"""),"Предназначен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воздействии магнита) с присоединенными выводами 17 см* (* по"&amp;" требованию Потребителя возможно изготовление тампера с выводами другой длины и нормально-замкнутыми (NC) контактами, или (NO/NC) контактами) , температура эксплуатации от -60 до +65°С, IP66")</f>
        <v>Предназначен для дистанционного контроля прилегания двух поверхностей, например, корпуса и крышки прибора или коммутационной коробки. Тампер имеет нормально-разомкнутый (NO) контакт (замкнут при воздействии магнита) с присоединенными выводами 17 см* (* по требованию Потребителя возможно изготовление тампера с выводами другой длины и нормально-замкнутыми (NC) контактами, или (NO/NC) контактами) , температура эксплуатации от -60 до +65°С, IP66</v>
      </c>
      <c r="C1322" s="14">
        <f ca="1">IFERROR(__xludf.DUMMYFUNCTION("""COMPUTED_VALUE"""),390)</f>
        <v>390</v>
      </c>
      <c r="D1322" s="13"/>
    </row>
    <row r="1323" spans="1:4" ht="12.75">
      <c r="A1323" s="12" t="str">
        <f ca="1">IFERROR(__xludf.DUMMYFUNCTION("""COMPUTED_VALUE"""),"Корпус 009")</f>
        <v>Корпус 009</v>
      </c>
      <c r="B1323" s="13" t="str">
        <f ca="1">IFERROR(__xludf.DUMMYFUNCTION("""COMPUTED_VALUE"""),"Корпус для радиоаппаратуры")</f>
        <v>Корпус для радиоаппаратуры</v>
      </c>
      <c r="C1323" s="14">
        <f ca="1">IFERROR(__xludf.DUMMYFUNCTION("""COMPUTED_VALUE"""),2283.996)</f>
        <v>2283.9960000000001</v>
      </c>
      <c r="D1323" s="13"/>
    </row>
    <row r="1324" spans="1:4" ht="25.5">
      <c r="A1324" s="12" t="str">
        <f ca="1">IFERROR(__xludf.DUMMYFUNCTION("""COMPUTED_VALUE"""),"«Окно-4М» ПАШК.425114.032")</f>
        <v>«Окно-4М» ПАШК.425114.032</v>
      </c>
      <c r="B1324" s="13" t="str">
        <f ca="1">IFERROR(__xludf.DUMMYFUNCTION("""COMPUTED_VALUE"""),"Ударноконтакт., остеклен. Поверхности 20 кв.м ,до 5лист, 5ДРС")</f>
        <v>Ударноконтакт., остеклен. Поверхности 20 кв.м ,до 5лист, 5ДРС</v>
      </c>
      <c r="C1324" s="14">
        <f ca="1">IFERROR(__xludf.DUMMYFUNCTION("""COMPUTED_VALUE"""),2555.652)</f>
        <v>2555.652</v>
      </c>
      <c r="D1324" s="13"/>
    </row>
    <row r="1325" spans="1:4" ht="25.5">
      <c r="A1325" s="12" t="str">
        <f ca="1">IFERROR(__xludf.DUMMYFUNCTION("""COMPUTED_VALUE"""),"«Окно-5» ДВ2.403.057")</f>
        <v>«Окно-5» ДВ2.403.057</v>
      </c>
      <c r="B1325" s="13" t="str">
        <f ca="1">IFERROR(__xludf.DUMMYFUNCTION("""COMPUTED_VALUE"""),"Ударноконтакт., остеклен. Поверхн. 20 кв.м, до 5 листов, 5ДРС")</f>
        <v>Ударноконтакт., остеклен. Поверхн. 20 кв.м, до 5 листов, 5ДРС</v>
      </c>
      <c r="C1325" s="14">
        <f ca="1">IFERROR(__xludf.DUMMYFUNCTION("""COMPUTED_VALUE"""),3491.4)</f>
        <v>3491.4</v>
      </c>
      <c r="D1325" s="13"/>
    </row>
    <row r="1326" spans="1:4" ht="25.5">
      <c r="A1326" s="12" t="str">
        <f ca="1">IFERROR(__xludf.DUMMYFUNCTION("""COMPUTED_VALUE"""),"«Окно-6» ПАШК.425114.001")</f>
        <v>«Окно-6» ПАШК.425114.001</v>
      </c>
      <c r="B1326" s="13" t="str">
        <f ca="1">IFERROR(__xludf.DUMMYFUNCTION("""COMPUTED_VALUE"""),"Ударноконтакт., остеклен. Поверхн. 60 кв.м, релейн. Выход 15ДРС")</f>
        <v>Ударноконтакт., остеклен. Поверхн. 60 кв.м, релейн. Выход 15ДРС</v>
      </c>
      <c r="C1326" s="14">
        <f ca="1">IFERROR(__xludf.DUMMYFUNCTION("""COMPUTED_VALUE"""),7440.29)</f>
        <v>7440.29</v>
      </c>
      <c r="D1326" s="13"/>
    </row>
    <row r="1327" spans="1:4" ht="12.75">
      <c r="A1327" s="12" t="str">
        <f ca="1">IFERROR(__xludf.DUMMYFUNCTION("""COMPUTED_VALUE"""),"ДИМК ПАШК.425119.016")</f>
        <v>ДИМК ПАШК.425119.016</v>
      </c>
      <c r="B1327" s="13" t="str">
        <f ca="1">IFERROR(__xludf.DUMMYFUNCTION("""COMPUTED_VALUE"""),"Датчик ударноконтактный")</f>
        <v>Датчик ударноконтактный</v>
      </c>
      <c r="C1327" s="14">
        <f ca="1">IFERROR(__xludf.DUMMYFUNCTION("""COMPUTED_VALUE"""),301)</f>
        <v>301</v>
      </c>
      <c r="D1327" s="13"/>
    </row>
    <row r="1328" spans="1:4" ht="63.75">
      <c r="A1328" s="12" t="str">
        <f ca="1">IFERROR(__xludf.DUMMYFUNCTION("""COMPUTED_VALUE"""),"ИО 315-3/1 «Орбита-1» ПАШК.425138.001")</f>
        <v>ИО 315-3/1 «Орбита-1» ПАШК.425138.001</v>
      </c>
      <c r="B1328" s="13" t="str">
        <f ca="1">IFERROR(__xludf.DUMMYFUNCTION("""COMPUTED_VALUE"""),"Извещатель охранный совмещённый, выход на ПЦН, комплект : 15ДРС и 15 датчиков ИО 102-16/2, питание и передача сигнала «Тревога» по телефонной линии.")</f>
        <v>Извещатель охранный совмещённый, выход на ПЦН, комплект : 15ДРС и 15 датчиков ИО 102-16/2, питание и передача сигнала «Тревога» по телефонной линии.</v>
      </c>
      <c r="C1328" s="14">
        <f ca="1">IFERROR(__xludf.DUMMYFUNCTION("""COMPUTED_VALUE"""),9689.68)</f>
        <v>9689.68</v>
      </c>
      <c r="D1328" s="13"/>
    </row>
    <row r="1329" spans="1:4" ht="38.25">
      <c r="A1329" s="12" t="str">
        <f ca="1">IFERROR(__xludf.DUMMYFUNCTION("""COMPUTED_VALUE"""),"ИО 315-3/2 «Орбита-1М» ПАШК.425138.002")</f>
        <v>ИО 315-3/2 «Орбита-1М» ПАШК.425138.002</v>
      </c>
      <c r="B1329" s="13" t="str">
        <f ca="1">IFERROR(__xludf.DUMMYFUNCTION("""COMPUTED_VALUE"""),"Извещатель охранный совмещённый, релейный выход, комплект: 15ДРС и 15 датчиков ИО 102-16/2, питание 12В.")</f>
        <v>Извещатель охранный совмещённый, релейный выход, комплект: 15ДРС и 15 датчиков ИО 102-16/2, питание 12В.</v>
      </c>
      <c r="C1329" s="14">
        <f ca="1">IFERROR(__xludf.DUMMYFUNCTION("""COMPUTED_VALUE"""),9170.59)</f>
        <v>9170.59</v>
      </c>
      <c r="D1329" s="13"/>
    </row>
    <row r="1330" spans="1:4" ht="12.75">
      <c r="A1330" s="12" t="str">
        <f ca="1">IFERROR(__xludf.DUMMYFUNCTION("""COMPUTED_VALUE"""),"«Орбита-1» БОС ПАШК.425138.001")</f>
        <v>«Орбита-1» БОС ПАШК.425138.001</v>
      </c>
      <c r="B1330" s="13" t="str">
        <f ca="1">IFERROR(__xludf.DUMMYFUNCTION("""COMPUTED_VALUE"""),"Без комплекта датчиков.")</f>
        <v>Без комплекта датчиков.</v>
      </c>
      <c r="C1330" s="14">
        <f ca="1">IFERROR(__xludf.DUMMYFUNCTION("""COMPUTED_VALUE"""),3844.731)</f>
        <v>3844.7310000000002</v>
      </c>
      <c r="D1330" s="13"/>
    </row>
    <row r="1331" spans="1:4" ht="12.75">
      <c r="A1331" s="12" t="str">
        <f ca="1">IFERROR(__xludf.DUMMYFUNCTION("""COMPUTED_VALUE"""),"«Орбита-1М» БОС ПАШК.425138.002")</f>
        <v>«Орбита-1М» БОС ПАШК.425138.002</v>
      </c>
      <c r="B1331" s="13" t="str">
        <f ca="1">IFERROR(__xludf.DUMMYFUNCTION("""COMPUTED_VALUE"""),"Без комплекта датчиков.")</f>
        <v>Без комплекта датчиков.</v>
      </c>
      <c r="C1331" s="14">
        <f ca="1">IFERROR(__xludf.DUMMYFUNCTION("""COMPUTED_VALUE"""),3106.235)</f>
        <v>3106.2350000000001</v>
      </c>
      <c r="D1331" s="13"/>
    </row>
    <row r="1332" spans="1:4" ht="114.75">
      <c r="A1332" s="12" t="str">
        <f ca="1">IFERROR(__xludf.DUMMYFUNCTION("""COMPUTED_VALUE"""),"УК-ВК-Ех-12 АЯКС АТФЕ.425412.224ТУ")</f>
        <v>УК-ВК-Ех-12 АЯКС АТФЕ.425412.224ТУ</v>
      </c>
      <c r="B1332" s="13" t="str">
        <f ca="1">IFERROR(__xludf.DUMMYFUNCTION("""COMPUTED_VALUE"""),"Взрывозащищенное устройство управления и коммутации, два реле, контакты на переключение. U-упр.12 В, I-упр.55 мА, U-коммут.до 250В, I-коммут.до 8 А; t-раб.-50...+60°С, Ø117 х 85 мм, 1,3 кг , IP66/IP68, 1EX DB IIC T6 DB Х / EX TB IIIC T85°C DB Х. До 3 кабе"&amp;"льных ввода или Ех-заглушек (приобретаются отдельно).")</f>
        <v>Взрывозащищенное устройство управления и коммутации, два реле, контакты на переключение. U-упр.12 В, I-упр.55 мА, U-коммут.до 250В, I-коммут.до 8 А; t-раб.-50...+60°С, Ø117 х 85 мм, 1,3 кг , IP66/IP68, 1EX DB IIC T6 DB Х / EX TB IIIC T85°C DB Х. До 3 кабельных ввода или Ех-заглушек (приобретаются отдельно).</v>
      </c>
      <c r="C1332" s="14">
        <f ca="1">IFERROR(__xludf.DUMMYFUNCTION("""COMPUTED_VALUE"""),12800)</f>
        <v>12800</v>
      </c>
      <c r="D1332" s="13"/>
    </row>
    <row r="1333" spans="1:4" ht="114.75">
      <c r="A1333" s="12" t="str">
        <f ca="1">IFERROR(__xludf.DUMMYFUNCTION("""COMPUTED_VALUE"""),"УК-ВК-Ех-24 АЯКС  АТФЕ.425412.224ТУ")</f>
        <v>УК-ВК-Ех-24 АЯКС  АТФЕ.425412.224ТУ</v>
      </c>
      <c r="B1333" s="13" t="str">
        <f ca="1">IFERROR(__xludf.DUMMYFUNCTION("""COMPUTED_VALUE"""),"Взрывозащищенное устройство управления и коммутации, два реле, контакты на переключение. U-упр.24 В, I-упр.55 мА, U-коммут.до 250В, I-коммут.до 8 А; t-раб.-50...+60°С, Ø117 х 85 мм, 1,3 кг , IP66/IP68 , 1EX DB IIC T6 DB Х / EX TB IIIC T85°C DB Х. До 3 каб"&amp;"ельных ввода или Ех заглушек (приобретаются отдельно).")</f>
        <v>Взрывозащищенное устройство управления и коммутации, два реле, контакты на переключение. U-упр.24 В, I-упр.55 мА, U-коммут.до 250В, I-коммут.до 8 А; t-раб.-50...+60°С, Ø117 х 85 мм, 1,3 кг , IP66/IP68 , 1EX DB IIC T6 DB Х / EX TB IIIC T85°C DB Х. До 3 кабельных ввода или Ех заглушек (приобретаются отдельно).</v>
      </c>
      <c r="C1333" s="14">
        <f ca="1">IFERROR(__xludf.DUMMYFUNCTION("""COMPUTED_VALUE"""),12800)</f>
        <v>12800</v>
      </c>
      <c r="D1333" s="13"/>
    </row>
    <row r="1334" spans="1:4" ht="63.75">
      <c r="A1334" s="12" t="str">
        <f ca="1">IFERROR(__xludf.DUMMYFUNCTION("""COMPUTED_VALUE"""),"УК-ВК-Ех-12 АЯКС П, с двумя кабельными вводами Ех МКВМ 16 (тип штуцера К, КМ, В или Т - уточняется при заказе)")</f>
        <v>УК-ВК-Ех-12 АЯКС П, с двумя кабельными вводами Ех МКВМ 16 (тип штуцера К, КМ, В или Т - уточняется при заказе)</v>
      </c>
      <c r="B1334" s="13" t="str">
        <f ca="1">IFERROR(__xludf.DUMMYFUNCTION("""COMPUTED_VALUE"""),"Проходное исполнение УК-ВК-Ех-12 укомплектованное двумя кабельными вводами Ех МКВМ16 из нержавеющей стали (резьба М16х1,5, тип штуцера - выбрать), IP66/IP68")</f>
        <v>Проходное исполнение УК-ВК-Ех-12 укомплектованное двумя кабельными вводами Ех МКВМ16 из нержавеющей стали (резьба М16х1,5, тип штуцера - выбрать), IP66/IP68</v>
      </c>
      <c r="C1334" s="14">
        <f ca="1">IFERROR(__xludf.DUMMYFUNCTION("""COMPUTED_VALUE"""),20260)</f>
        <v>20260</v>
      </c>
      <c r="D1334" s="13"/>
    </row>
    <row r="1335" spans="1:4" ht="63.75">
      <c r="A1335" s="12" t="str">
        <f ca="1">IFERROR(__xludf.DUMMYFUNCTION("""COMPUTED_VALUE"""),"УК-ВК-Ех-24 АЯКС П, с двумя кабельными вводами Ех МКВМ 16 (тип штуцера К, КМ, В или Т - уточняется при заказе)")</f>
        <v>УК-ВК-Ех-24 АЯКС П, с двумя кабельными вводами Ех МКВМ 16 (тип штуцера К, КМ, В или Т - уточняется при заказе)</v>
      </c>
      <c r="B1335" s="13" t="str">
        <f ca="1">IFERROR(__xludf.DUMMYFUNCTION("""COMPUTED_VALUE"""),"Проходное исполнение УК-ВК-Ех-24 укомплектованное двумя кабельными вводами Ех МКВМ16 из нержавеющей стали (резьба М16х1,5, тип штуцера - выбрать), IP66/IP68")</f>
        <v>Проходное исполнение УК-ВК-Ех-24 укомплектованное двумя кабельными вводами Ех МКВМ16 из нержавеющей стали (резьба М16х1,5, тип штуцера - выбрать), IP66/IP68</v>
      </c>
      <c r="C1335" s="14">
        <f ca="1">IFERROR(__xludf.DUMMYFUNCTION("""COMPUTED_VALUE"""),20260)</f>
        <v>20260</v>
      </c>
      <c r="D1335" s="13"/>
    </row>
    <row r="1336" spans="1:4" ht="76.5">
      <c r="A1336" s="12" t="str">
        <f ca="1">IFERROR(__xludf.DUMMYFUNCTION("""COMPUTED_VALUE"""),"УК-ВК-Ех-12 АЯКС П, с двумя кабельными вводами ВН20")</f>
        <v>УК-ВК-Ех-12 АЯКС П, с двумя кабельными вводами ВН20</v>
      </c>
      <c r="B1336" s="13" t="str">
        <f ca="1">IFERROR(__xludf.DUMMYFUNCTION("""COMPUTED_VALUE"""),"Проходное исполнение УК-ВК-Ех-12 укомплектованное двумя кабельными вводами ВН20 из никелированной латуни (резьба М20х1,5, штуцер под открытую прокладку кабеля 6-12 мм), IP66/IP68")</f>
        <v>Проходное исполнение УК-ВК-Ех-12 укомплектованное двумя кабельными вводами ВН20 из никелированной латуни (резьба М20х1,5, штуцер под открытую прокладку кабеля 6-12 мм), IP66/IP68</v>
      </c>
      <c r="C1336" s="14">
        <f ca="1">IFERROR(__xludf.DUMMYFUNCTION("""COMPUTED_VALUE"""),14300)</f>
        <v>14300</v>
      </c>
      <c r="D1336" s="13"/>
    </row>
    <row r="1337" spans="1:4" ht="76.5">
      <c r="A1337" s="12" t="str">
        <f ca="1">IFERROR(__xludf.DUMMYFUNCTION("""COMPUTED_VALUE"""),"УК-ВК-Ех-24 АЯКС П, с двумя кабельными вводами ВН20")</f>
        <v>УК-ВК-Ех-24 АЯКС П, с двумя кабельными вводами ВН20</v>
      </c>
      <c r="B1337" s="13" t="str">
        <f ca="1">IFERROR(__xludf.DUMMYFUNCTION("""COMPUTED_VALUE"""),"Проходное исполнение УК-ВК-Ех-24 укомплектованное двумя кабельными вводами ВН20 из никелированной латуни (резьба М20х1,5, штуцер под открытую прокладку кабеля 6-12 мм), IP66/IP68")</f>
        <v>Проходное исполнение УК-ВК-Ех-24 укомплектованное двумя кабельными вводами ВН20 из никелированной латуни (резьба М20х1,5, штуцер под открытую прокладку кабеля 6-12 мм), IP66/IP68</v>
      </c>
      <c r="C1337" s="14">
        <f ca="1">IFERROR(__xludf.DUMMYFUNCTION("""COMPUTED_VALUE"""),14300)</f>
        <v>14300</v>
      </c>
      <c r="D1337" s="13"/>
    </row>
    <row r="1338" spans="1:4" ht="63.75">
      <c r="A1338" s="12" t="str">
        <f ca="1">IFERROR(__xludf.DUMMYFUNCTION("""COMPUTED_VALUE"""),"УК-ВК-Ех-12 АЯКС П, с двумя кабельными вводами Ех МКВМ 20 (тип штуцера К, КМ, В или Т - уточняется при заказе)")</f>
        <v>УК-ВК-Ех-12 АЯКС П, с двумя кабельными вводами Ех МКВМ 20 (тип штуцера К, КМ, В или Т - уточняется при заказе)</v>
      </c>
      <c r="B1338" s="13" t="str">
        <f ca="1">IFERROR(__xludf.DUMMYFUNCTION("""COMPUTED_VALUE"""),"Проходное исполнение УК-ВК-Ех-12 укомплектованное двумя кабельными вводами Ех МКВМ20 из нержавеющей стали (резьба М20х1,5, тип штуцера - выбрать), IP66/IP68")</f>
        <v>Проходное исполнение УК-ВК-Ех-12 укомплектованное двумя кабельными вводами Ех МКВМ20 из нержавеющей стали (резьба М20х1,5, тип штуцера - выбрать), IP66/IP68</v>
      </c>
      <c r="C1338" s="14">
        <f ca="1">IFERROR(__xludf.DUMMYFUNCTION("""COMPUTED_VALUE"""),20660)</f>
        <v>20660</v>
      </c>
      <c r="D1338" s="13"/>
    </row>
    <row r="1339" spans="1:4" ht="63.75">
      <c r="A1339" s="12" t="str">
        <f ca="1">IFERROR(__xludf.DUMMYFUNCTION("""COMPUTED_VALUE"""),"УК-ВК-Ех-24 АЯКС П, с двумя кабельными вводами Ех МКВМ 20 (тип штуцера К, КМ, В или Т - уточняется при заказе)")</f>
        <v>УК-ВК-Ех-24 АЯКС П, с двумя кабельными вводами Ех МКВМ 20 (тип штуцера К, КМ, В или Т - уточняется при заказе)</v>
      </c>
      <c r="B1339" s="13" t="str">
        <f ca="1">IFERROR(__xludf.DUMMYFUNCTION("""COMPUTED_VALUE"""),"Проходное исполнение УК-ВК-Ех-24 укомплектованное двумя кабельными вводами Ех МКВМ20 из нержавеющей стали (резьба М20х1,5, тип штуцера - выбрать), IP66/IP68")</f>
        <v>Проходное исполнение УК-ВК-Ех-24 укомплектованное двумя кабельными вводами Ех МКВМ20 из нержавеющей стали (резьба М20х1,5, тип штуцера - выбрать), IP66/IP68</v>
      </c>
      <c r="C1339" s="14">
        <f ca="1">IFERROR(__xludf.DUMMYFUNCTION("""COMPUTED_VALUE"""),20660)</f>
        <v>20660</v>
      </c>
      <c r="D1339" s="13"/>
    </row>
    <row r="1340" spans="1:4" ht="63.75">
      <c r="A1340" s="12" t="str">
        <f ca="1">IFERROR(__xludf.DUMMYFUNCTION("""COMPUTED_VALUE"""),"УК-ВК-Ех-12 АЯКС П, с двумя кабельными вводами Ех МКВМ 25 (тип штуцера К, КМ, В или Т - уточняется при заказе)")</f>
        <v>УК-ВК-Ех-12 АЯКС П, с двумя кабельными вводами Ех МКВМ 25 (тип штуцера К, КМ, В или Т - уточняется при заказе)</v>
      </c>
      <c r="B1340" s="13" t="str">
        <f ca="1">IFERROR(__xludf.DUMMYFUNCTION("""COMPUTED_VALUE"""),"Проходное исполнение УК-ВК-Ех-12 укомплектованное двумя кабельными вводами Ех МКВМ25 из нержавеющей стали (резьба М25х1,5, тип штуцера - выбрать), IP66/IP68")</f>
        <v>Проходное исполнение УК-ВК-Ех-12 укомплектованное двумя кабельными вводами Ех МКВМ25 из нержавеющей стали (резьба М25х1,5, тип штуцера - выбрать), IP66/IP68</v>
      </c>
      <c r="C1340" s="14">
        <f ca="1">IFERROR(__xludf.DUMMYFUNCTION("""COMPUTED_VALUE"""),26960)</f>
        <v>26960</v>
      </c>
      <c r="D1340" s="13"/>
    </row>
    <row r="1341" spans="1:4" ht="63.75">
      <c r="A1341" s="12" t="str">
        <f ca="1">IFERROR(__xludf.DUMMYFUNCTION("""COMPUTED_VALUE"""),"УК-ВК-Ех-24 АЯКС П, с двумя кабельными вводами Ех МКВМ 25 (тип штуцера К, КМ, В или Т - уточняется при заказе)")</f>
        <v>УК-ВК-Ех-24 АЯКС П, с двумя кабельными вводами Ех МКВМ 25 (тип штуцера К, КМ, В или Т - уточняется при заказе)</v>
      </c>
      <c r="B1341" s="13" t="str">
        <f ca="1">IFERROR(__xludf.DUMMYFUNCTION("""COMPUTED_VALUE"""),"Проходное исполнение УК-ВК-Ех-24 укомплектованное двумя кабельными вводами Ех МКВМ25 из нержавеющей стали (резьба М25х1,5, тип штуцера - выбрать), IP66/IP68")</f>
        <v>Проходное исполнение УК-ВК-Ех-24 укомплектованное двумя кабельными вводами Ех МКВМ25 из нержавеющей стали (резьба М25х1,5, тип штуцера - выбрать), IP66/IP68</v>
      </c>
      <c r="C1341" s="14">
        <f ca="1">IFERROR(__xludf.DUMMYFUNCTION("""COMPUTED_VALUE"""),26960)</f>
        <v>26960</v>
      </c>
      <c r="D1341" s="13"/>
    </row>
    <row r="1342" spans="1:4" ht="63.75">
      <c r="A1342" s="12" t="str">
        <f ca="1">IFERROR(__xludf.DUMMYFUNCTION("""COMPUTED_VALUE"""),"УК-ВК-Ех-12 АЯКС У, с двумя кабельными вводами Ех МКВМ 20 (тип штуцера К, КМ, В или Т - уточняется при заказе)")</f>
        <v>УК-ВК-Ех-12 АЯКС У, с двумя кабельными вводами Ех МКВМ 20 (тип штуцера К, КМ, В или Т - уточняется при заказе)</v>
      </c>
      <c r="B1342" s="13" t="str">
        <f ca="1">IFERROR(__xludf.DUMMYFUNCTION("""COMPUTED_VALUE"""),"Угловое исполнение УК-ВК-Ех-12 укомплектованное двумя кабельными вводами Ех МКВМ20 из нержавеющей стали (резьба М20х1,5, тип штуцера - выбрать), IP66/IP68")</f>
        <v>Угловое исполнение УК-ВК-Ех-12 укомплектованное двумя кабельными вводами Ех МКВМ20 из нержавеющей стали (резьба М20х1,5, тип штуцера - выбрать), IP66/IP68</v>
      </c>
      <c r="C1342" s="14">
        <f ca="1">IFERROR(__xludf.DUMMYFUNCTION("""COMPUTED_VALUE"""),20660)</f>
        <v>20660</v>
      </c>
      <c r="D1342" s="13"/>
    </row>
    <row r="1343" spans="1:4" ht="63.75">
      <c r="A1343" s="12" t="str">
        <f ca="1">IFERROR(__xludf.DUMMYFUNCTION("""COMPUTED_VALUE"""),"УК-ВК-Ех-24 АЯКС У, с двумя кабельными вводами Ех МКВМ 20 (тип штуцера К, КМ, В или Т - уточняется при заказе)")</f>
        <v>УК-ВК-Ех-24 АЯКС У, с двумя кабельными вводами Ех МКВМ 20 (тип штуцера К, КМ, В или Т - уточняется при заказе)</v>
      </c>
      <c r="B1343" s="13" t="str">
        <f ca="1">IFERROR(__xludf.DUMMYFUNCTION("""COMPUTED_VALUE"""),"Угловое исполнение УК-ВК-Ех-24 укомплектованное двумя кабельными вводами Ех МКВМ20 из нержавеющей стали (резьба М20х1,5, тип штуцера - выбрать), IP66/IP68")</f>
        <v>Угловое исполнение УК-ВК-Ех-24 укомплектованное двумя кабельными вводами Ех МКВМ20 из нержавеющей стали (резьба М20х1,5, тип штуцера - выбрать), IP66/IP68</v>
      </c>
      <c r="C1343" s="14">
        <f ca="1">IFERROR(__xludf.DUMMYFUNCTION("""COMPUTED_VALUE"""),20660)</f>
        <v>20660</v>
      </c>
      <c r="D1343" s="13"/>
    </row>
    <row r="1344" spans="1:4" ht="76.5">
      <c r="A1344" s="12" t="str">
        <f ca="1">IFERROR(__xludf.DUMMYFUNCTION("""COMPUTED_VALUE"""),"УК-ВК-Ех-12 АЯКС Т, с тремя кабельными вводами ВН25")</f>
        <v>УК-ВК-Ех-12 АЯКС Т, с тремя кабельными вводами ВН25</v>
      </c>
      <c r="B1344" s="13" t="str">
        <f ca="1">IFERROR(__xludf.DUMMYFUNCTION("""COMPUTED_VALUE"""),"Тройниковое исполнение УК-ВК-Ех-12 укомплектованное тремя кабельнми вводами ВН25 из никелированной латуни (резьба М25х1,5, штуцер под открытую прокладку кабеля 12-18 мм), IP66/IP68")</f>
        <v>Тройниковое исполнение УК-ВК-Ех-12 укомплектованное тремя кабельнми вводами ВН25 из никелированной латуни (резьба М25х1,5, штуцер под открытую прокладку кабеля 12-18 мм), IP66/IP68</v>
      </c>
      <c r="C1344" s="14">
        <f ca="1">IFERROR(__xludf.DUMMYFUNCTION("""COMPUTED_VALUE"""),16300)</f>
        <v>16300</v>
      </c>
      <c r="D1344" s="13"/>
    </row>
    <row r="1345" spans="1:4" ht="76.5">
      <c r="A1345" s="12" t="str">
        <f ca="1">IFERROR(__xludf.DUMMYFUNCTION("""COMPUTED_VALUE"""),"УК-ВК-Ех-24 АЯКС Т, с тремя кабельными вводами ВН25")</f>
        <v>УК-ВК-Ех-24 АЯКС Т, с тремя кабельными вводами ВН25</v>
      </c>
      <c r="B1345" s="13" t="str">
        <f ca="1">IFERROR(__xludf.DUMMYFUNCTION("""COMPUTED_VALUE"""),"Тройниковое исполнение УК-ВК-Ех-24 укомплектованное тремя кабельных вводами ВН25 из никелированной латуни (резьба М25х1,5, штуцер под открытую прокладку кабеля 12-18 мм), IP66/IP68")</f>
        <v>Тройниковое исполнение УК-ВК-Ех-24 укомплектованное тремя кабельных вводами ВН25 из никелированной латуни (резьба М25х1,5, штуцер под открытую прокладку кабеля 12-18 мм), IP66/IP68</v>
      </c>
      <c r="C1345" s="14">
        <f ca="1">IFERROR(__xludf.DUMMYFUNCTION("""COMPUTED_VALUE"""),16300)</f>
        <v>16300</v>
      </c>
      <c r="D1345" s="13"/>
    </row>
    <row r="1346" spans="1:4" ht="63.75">
      <c r="A1346" s="12" t="str">
        <f ca="1">IFERROR(__xludf.DUMMYFUNCTION("""COMPUTED_VALUE"""),"УК-ВК-Ех-12 АЯКС Т, с тремя кабельными вводами Ех МКВМ 20 (тип штуцера К, КМ, В или Т - уточняется при заказе)")</f>
        <v>УК-ВК-Ех-12 АЯКС Т, с тремя кабельными вводами Ех МКВМ 20 (тип штуцера К, КМ, В или Т - уточняется при заказе)</v>
      </c>
      <c r="B1346" s="13" t="str">
        <f ca="1">IFERROR(__xludf.DUMMYFUNCTION("""COMPUTED_VALUE"""),"Тройниковое исполнение УК-ВК-Ех-12 укомплектованное тремя кабельными вводами Ех МКВМ20 из нержавеющей стали (резьба М20х1,5, тип штуцера - выбрать), IP66/IP68")</f>
        <v>Тройниковое исполнение УК-ВК-Ех-12 укомплектованное тремя кабельными вводами Ех МКВМ20 из нержавеющей стали (резьба М20х1,5, тип штуцера - выбрать), IP66/IP68</v>
      </c>
      <c r="C1346" s="14">
        <f ca="1">IFERROR(__xludf.DUMMYFUNCTION("""COMPUTED_VALUE"""),24600)</f>
        <v>24600</v>
      </c>
      <c r="D1346" s="13"/>
    </row>
    <row r="1347" spans="1:4" ht="63.75">
      <c r="A1347" s="12" t="str">
        <f ca="1">IFERROR(__xludf.DUMMYFUNCTION("""COMPUTED_VALUE"""),"УК-ВК-Ех-24 АЯКС Т, с тремя кабельными вводами Ех МКВМ 20 (тип штуцера К, КМ, В или Т - уточняется при заказе)")</f>
        <v>УК-ВК-Ех-24 АЯКС Т, с тремя кабельными вводами Ех МКВМ 20 (тип штуцера К, КМ, В или Т - уточняется при заказе)</v>
      </c>
      <c r="B1347" s="13" t="str">
        <f ca="1">IFERROR(__xludf.DUMMYFUNCTION("""COMPUTED_VALUE"""),"Тройниковое исполнение УК-ВК-Ех-24 укомплектованное тремя кабельными вводами Ех МКВМ20 из нержавеющей стали (резьба М20х1,5, тип штуцера - выбрать), IP66/IP68")</f>
        <v>Тройниковое исполнение УК-ВК-Ех-24 укомплектованное тремя кабельными вводами Ех МКВМ20 из нержавеющей стали (резьба М20х1,5, тип штуцера - выбрать), IP66/IP68</v>
      </c>
      <c r="C1347" s="14">
        <f ca="1">IFERROR(__xludf.DUMMYFUNCTION("""COMPUTED_VALUE"""),24600)</f>
        <v>24600</v>
      </c>
      <c r="D1347" s="13"/>
    </row>
    <row r="1348" spans="1:4" ht="38.25">
      <c r="A1348" s="12" t="str">
        <f ca="1">IFERROR(__xludf.DUMMYFUNCTION("""COMPUTED_VALUE"""),"УУК-12-01 (УК-ВК/01) ПАШК.425412.027")</f>
        <v>УУК-12-01 (УК-ВК/01) ПАШК.425412.027</v>
      </c>
      <c r="B1348" s="13" t="str">
        <f ca="1">IFERROR(__xludf.DUMMYFUNCTION("""COMPUTED_VALUE"""),"Устройство управления и коммутации, одно реле. Контакты на переключение. Является аналогом УК-ВК исп.03")</f>
        <v>Устройство управления и коммутации, одно реле. Контакты на переключение. Является аналогом УК-ВК исп.03</v>
      </c>
      <c r="C1348" s="14">
        <f ca="1">IFERROR(__xludf.DUMMYFUNCTION("""COMPUTED_VALUE"""),778.635)</f>
        <v>778.63499999999999</v>
      </c>
      <c r="D1348" s="13"/>
    </row>
    <row r="1349" spans="1:4" ht="38.25">
      <c r="A1349" s="12" t="str">
        <f ca="1">IFERROR(__xludf.DUMMYFUNCTION("""COMPUTED_VALUE"""),"УУК-24-01 (УК-ВК/05) ПАШК.425412.027")</f>
        <v>УУК-24-01 (УК-ВК/05) ПАШК.425412.027</v>
      </c>
      <c r="B1349" s="13" t="str">
        <f ca="1">IFERROR(__xludf.DUMMYFUNCTION("""COMPUTED_VALUE"""),"Устройство управления и коммутации, одно реле. Контакты на переключение. Является аналогом УК-ВК исп.05")</f>
        <v>Устройство управления и коммутации, одно реле. Контакты на переключение. Является аналогом УК-ВК исп.05</v>
      </c>
      <c r="C1349" s="14">
        <f ca="1">IFERROR(__xludf.DUMMYFUNCTION("""COMPUTED_VALUE"""),778.635)</f>
        <v>778.63499999999999</v>
      </c>
      <c r="D1349" s="13"/>
    </row>
    <row r="1350" spans="1:4" ht="38.25">
      <c r="A1350" s="12" t="str">
        <f ca="1">IFERROR(__xludf.DUMMYFUNCTION("""COMPUTED_VALUE"""),"УУК-12-02 (УК-ВК/00) ПАШК.425412.027")</f>
        <v>УУК-12-02 (УК-ВК/00) ПАШК.425412.027</v>
      </c>
      <c r="B1350" s="13" t="str">
        <f ca="1">IFERROR(__xludf.DUMMYFUNCTION("""COMPUTED_VALUE"""),"Устройство управления и коммуникации, два реле. Контакты на переключение. Является аналогом УК-ВК исп.02")</f>
        <v>Устройство управления и коммуникации, два реле. Контакты на переключение. Является аналогом УК-ВК исп.02</v>
      </c>
      <c r="C1350" s="14">
        <f ca="1">IFERROR(__xludf.DUMMYFUNCTION("""COMPUTED_VALUE"""),1186.988)</f>
        <v>1186.9880000000001</v>
      </c>
      <c r="D1350" s="13"/>
    </row>
    <row r="1351" spans="1:4" ht="38.25">
      <c r="A1351" s="12" t="str">
        <f ca="1">IFERROR(__xludf.DUMMYFUNCTION("""COMPUTED_VALUE"""),"УУК-24-02 (УК-ВК/04) ПАШК.425412.027")</f>
        <v>УУК-24-02 (УК-ВК/04) ПАШК.425412.027</v>
      </c>
      <c r="B1351" s="13" t="str">
        <f ca="1">IFERROR(__xludf.DUMMYFUNCTION("""COMPUTED_VALUE"""),"Устройство управления и коммуникации, два реле. Контакты на переключение. Является аналогом УК-ВК исп.04")</f>
        <v>Устройство управления и коммуникации, два реле. Контакты на переключение. Является аналогом УК-ВК исп.04</v>
      </c>
      <c r="C1351" s="14">
        <f ca="1">IFERROR(__xludf.DUMMYFUNCTION("""COMPUTED_VALUE"""),1186.988)</f>
        <v>1186.9880000000001</v>
      </c>
      <c r="D1351" s="13"/>
    </row>
    <row r="1352" spans="1:4" ht="63.75">
      <c r="A1352" s="12" t="str">
        <f ca="1">IFERROR(__xludf.DUMMYFUNCTION("""COMPUTED_VALUE"""),"УУК-12-08 ПАШК.425412.027ТУ")</f>
        <v>УУК-12-08 ПАШК.425412.027ТУ</v>
      </c>
      <c r="B1352" s="13" t="str">
        <f ca="1">IFERROR(__xludf.DUMMYFUNCTION("""COMPUTED_VALUE"""),"Клемник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f>
        <v>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v>
      </c>
      <c r="C1352" s="14">
        <f ca="1">IFERROR(__xludf.DUMMYFUNCTION("""COMPUTED_VALUE"""),4230.589)</f>
        <v>4230.5889999999999</v>
      </c>
      <c r="D1352" s="13"/>
    </row>
    <row r="1353" spans="1:4" ht="63.75">
      <c r="A1353" s="12" t="str">
        <f ca="1">IFERROR(__xludf.DUMMYFUNCTION("""COMPUTED_VALUE"""),"УУК-24-08 ПАШК.425412.027ТУ")</f>
        <v>УУК-24-08 ПАШК.425412.027ТУ</v>
      </c>
      <c r="B1353" s="13" t="str">
        <f ca="1">IFERROR(__xludf.DUMMYFUNCTION("""COMPUTED_VALUE"""),"Клемник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f>
        <v>Клемник T31, сечение подключаемого кабеля до 2,5мм², оборудованы герметичными кабельными вводами количеством 8 шт. с диаметром подключаемого кабеля от 9 до 14 мм.</v>
      </c>
      <c r="C1353" s="14">
        <f ca="1">IFERROR(__xludf.DUMMYFUNCTION("""COMPUTED_VALUE"""),4230.589)</f>
        <v>4230.5889999999999</v>
      </c>
      <c r="D1353" s="13"/>
    </row>
    <row r="1354" spans="1:4" ht="25.5">
      <c r="A1354" s="12" t="str">
        <f ca="1">IFERROR(__xludf.DUMMYFUNCTION("""COMPUTED_VALUE"""),"УУК-12-01/1 ПАШК.425412.027ТУ")</f>
        <v>УУК-12-01/1 ПАШК.425412.027ТУ</v>
      </c>
      <c r="B1354" s="13" t="str">
        <f ca="1">IFERROR(__xludf.DUMMYFUNCTION("""COMPUTED_VALUE"""),"Клемник K14, сечение подключаемого кабеля до 2,5мм²")</f>
        <v>Клемник K14, сечение подключаемого кабеля до 2,5мм²</v>
      </c>
      <c r="C1354" s="14">
        <f ca="1">IFERROR(__xludf.DUMMYFUNCTION("""COMPUTED_VALUE"""),927.443)</f>
        <v>927.44299999999998</v>
      </c>
      <c r="D1354" s="13"/>
    </row>
    <row r="1355" spans="1:4" ht="25.5">
      <c r="A1355" s="12" t="str">
        <f ca="1">IFERROR(__xludf.DUMMYFUNCTION("""COMPUTED_VALUE"""),"УУК-24-01/1 ПАШК.425412.027ТУ")</f>
        <v>УУК-24-01/1 ПАШК.425412.027ТУ</v>
      </c>
      <c r="B1355" s="13" t="str">
        <f ca="1">IFERROR(__xludf.DUMMYFUNCTION("""COMPUTED_VALUE"""),"Клемник K14, сечение подключаемого кабеля до 2,5мм²")</f>
        <v>Клемник K14, сечение подключаемого кабеля до 2,5мм²</v>
      </c>
      <c r="C1355" s="14">
        <f ca="1">IFERROR(__xludf.DUMMYFUNCTION("""COMPUTED_VALUE"""),941.281)</f>
        <v>941.28099999999995</v>
      </c>
      <c r="D1355" s="13"/>
    </row>
    <row r="1356" spans="1:4" ht="63.75">
      <c r="A1356" s="12" t="str">
        <f ca="1">IFERROR(__xludf.DUMMYFUNCTION("""COMPUTED_VALUE"""),"УУК-12-01 уличный, IP66/67 ПАШК.425412.027")</f>
        <v>УУК-12-01 уличный, IP66/67 ПАШК.425412.027</v>
      </c>
      <c r="B1356" s="13" t="str">
        <f ca="1">IFERROR(__xludf.DUMMYFUNCTION("""COMPUTED_VALUE"""),"Устройство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v>
      </c>
      <c r="C1356" s="14">
        <f ca="1">IFERROR(__xludf.DUMMYFUNCTION("""COMPUTED_VALUE"""),3460)</f>
        <v>3460</v>
      </c>
      <c r="D1356" s="13"/>
    </row>
    <row r="1357" spans="1:4" ht="63.75">
      <c r="A1357" s="12" t="str">
        <f ca="1">IFERROR(__xludf.DUMMYFUNCTION("""COMPUTED_VALUE"""),"УУК-24-01 уличный, IP66/67 ПАШК.425412.027")</f>
        <v>УУК-24-01 уличный, IP66/67 ПАШК.425412.027</v>
      </c>
      <c r="B1357" s="13" t="str">
        <f ca="1">IFERROR(__xludf.DUMMYFUNCTION("""COMPUTED_VALUE"""),"Устройство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коммутации, одно реле. Контакты на переключение. В герметичном металлическом корпусе, IP 66/67. два металлических кабельных ввода ВМ20х1,5 (под кабель 6-12 мм)</v>
      </c>
      <c r="C1357" s="14">
        <f ca="1">IFERROR(__xludf.DUMMYFUNCTION("""COMPUTED_VALUE"""),3460)</f>
        <v>3460</v>
      </c>
      <c r="D1357" s="13"/>
    </row>
    <row r="1358" spans="1:4" ht="63.75">
      <c r="A1358" s="12" t="str">
        <f ca="1">IFERROR(__xludf.DUMMYFUNCTION("""COMPUTED_VALUE"""),"УУК-12-02 уличный, IP66/67 ПАШК.425412.027")</f>
        <v>УУК-12-02 уличный, IP66/67 ПАШК.425412.027</v>
      </c>
      <c r="B1358" s="13" t="str">
        <f ca="1">IFERROR(__xludf.DUMMYFUNCTION("""COMPUTED_VALUE"""),"Устройство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v>
      </c>
      <c r="C1358" s="14">
        <f ca="1">IFERROR(__xludf.DUMMYFUNCTION("""COMPUTED_VALUE"""),3860)</f>
        <v>3860</v>
      </c>
      <c r="D1358" s="13"/>
    </row>
    <row r="1359" spans="1:4" ht="63.75">
      <c r="A1359" s="12" t="str">
        <f ca="1">IFERROR(__xludf.DUMMYFUNCTION("""COMPUTED_VALUE"""),"УУК-24-02 уличный, IP66/67 ПАШК.425412.027")</f>
        <v>УУК-24-02 уличный, IP66/67 ПАШК.425412.027</v>
      </c>
      <c r="B1359" s="13" t="str">
        <f ca="1">IFERROR(__xludf.DUMMYFUNCTION("""COMPUTED_VALUE"""),"Устройство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f>
        <v>Устройство управления и коммуникации, два реле. Контакты на переключение. В герметичном металлическом корпусе, IP 66/67. два металлических кабельных ввода ВМ20х1,5 (под кабель 6-12 мм)</v>
      </c>
      <c r="C1359" s="14">
        <f ca="1">IFERROR(__xludf.DUMMYFUNCTION("""COMPUTED_VALUE"""),3860)</f>
        <v>3860</v>
      </c>
      <c r="D1359" s="13"/>
    </row>
    <row r="1360" spans="1:4" ht="153">
      <c r="A1360" s="12" t="str">
        <f ca="1">IFERROR(__xludf.DUMMYFUNCTION("""COMPUTED_VALUE"""),"Оповещатель световой ОС-12 исп.01, IР66 ПАШК.425543.001")</f>
        <v>Оповещатель световой ОС-12 исп.01, IР66 ПАШК.425543.001</v>
      </c>
      <c r="B1360" s="13" t="str">
        <f ca="1">IFERROR(__xludf.DUMMYFUNCTION("""COMPUTED_VALUE"""),"Оповещатель представляет собой моноблок, содержащий световое стекло. Внутри корпуса ОС-12 «АЯКС» исп.01 имеется печатная плата с радиоэлементами с двумя дублированных коммутационными клеммниками для подключения внешнего питания. Корпус оповещателя ОС-12 «"&amp;"АЯКС» исп.01 оснащен двумя гермовводами, обеспечивающими подключение кабеля диаметром от 6 до 14 мм.")</f>
        <v>Оповещатель представляет собой моноблок, содержащий световое стекло. Внутри корпуса ОС-12 «АЯКС» исп.01 имеется печатная плата с радиоэлементами с двумя дублированных коммутационными клеммниками для подключения внешнего питания. Корпус оповещателя ОС-12 «АЯКС» исп.01 оснащен двумя гермовводами, обеспечивающими подключение кабеля диаметром от 6 до 14 мм.</v>
      </c>
      <c r="C1360" s="14">
        <f ca="1">IFERROR(__xludf.DUMMYFUNCTION("""COMPUTED_VALUE"""),1325.412)</f>
        <v>1325.412</v>
      </c>
      <c r="D1360" s="13"/>
    </row>
    <row r="1361" spans="1:4" ht="51">
      <c r="A1361" s="12" t="str">
        <f ca="1">IFERROR(__xludf.DUMMYFUNCTION("""COMPUTED_VALUE"""),"Оповещатель световой ОС-12 исп.02 ПАШК.425543.001")</f>
        <v>Оповещатель световой ОС-12 исп.02 ПАШК.425543.001</v>
      </c>
      <c r="B1361" s="13" t="str">
        <f ca="1">IFERROR(__xludf.DUMMYFUNCTION("""COMPUTED_VALUE"""),"Корпус оповещателя ОС-12 «АЯКС» исп.02 оснащен выводом КСПВГ 2х0,2мм длиной 1метр, клеммники на плате отсутствуют.")</f>
        <v>Корпус оповещателя ОС-12 «АЯКС» исп.02 оснащен выводом КСПВГ 2х0,2мм длиной 1метр, клеммники на плате отсутствуют.</v>
      </c>
      <c r="C1361" s="14">
        <f ca="1">IFERROR(__xludf.DUMMYFUNCTION("""COMPUTED_VALUE"""),1238.897)</f>
        <v>1238.8969999999999</v>
      </c>
      <c r="D1361" s="13"/>
    </row>
    <row r="1362" spans="1:4" ht="51">
      <c r="A1362" s="12" t="str">
        <f ca="1">IFERROR(__xludf.DUMMYFUNCTION("""COMPUTED_VALUE"""),"Оповещатель световой взрывозащищенный ОС-12/В «АЯКС»")</f>
        <v>Оповещатель световой взрывозащищенный ОС-12/В «АЯКС»</v>
      </c>
      <c r="B1362" s="13" t="str">
        <f ca="1">IFERROR(__xludf.DUMMYFUNCTION("""COMPUTED_VALUE"""),"Маркировка взрывозащиты 1ExibIIBT4 X. Предназначен для оповещения людей о пожаре или тревоге посредством светового сигнала.")</f>
        <v>Маркировка взрывозащиты 1ExibIIBT4 X. Предназначен для оповещения людей о пожаре или тревоге посредством светового сигнала.</v>
      </c>
      <c r="C1362" s="14">
        <f ca="1">IFERROR(__xludf.DUMMYFUNCTION("""COMPUTED_VALUE"""),5960)</f>
        <v>5960</v>
      </c>
      <c r="D1362" s="13"/>
    </row>
    <row r="1363" spans="1:4" ht="25.5">
      <c r="A1363" s="12" t="str">
        <f ca="1">IFERROR(__xludf.DUMMYFUNCTION("""COMPUTED_VALUE"""),"«Искра» 12В ПАШК.425543.013")</f>
        <v>«Искра» 12В ПАШК.425543.013</v>
      </c>
      <c r="B1363" s="13" t="str">
        <f ca="1">IFERROR(__xludf.DUMMYFUNCTION("""COMPUTED_VALUE"""),"Оповещатель световой 12В охранно-пожарный")</f>
        <v>Оповещатель световой 12В охранно-пожарный</v>
      </c>
      <c r="C1363" s="14">
        <f ca="1">IFERROR(__xludf.DUMMYFUNCTION("""COMPUTED_VALUE"""),553.696)</f>
        <v>553.69600000000003</v>
      </c>
      <c r="D1363" s="13"/>
    </row>
    <row r="1364" spans="1:4" ht="25.5">
      <c r="A1364" s="12" t="str">
        <f ca="1">IFERROR(__xludf.DUMMYFUNCTION("""COMPUTED_VALUE"""),"«Искра» 24В ПАШК.425543.013")</f>
        <v>«Искра» 24В ПАШК.425543.013</v>
      </c>
      <c r="B1364" s="13" t="str">
        <f ca="1">IFERROR(__xludf.DUMMYFUNCTION("""COMPUTED_VALUE"""),"Оповещатель световой 24В охранно-пожарный")</f>
        <v>Оповещатель световой 24В охранно-пожарный</v>
      </c>
      <c r="C1364" s="14">
        <f ca="1">IFERROR(__xludf.DUMMYFUNCTION("""COMPUTED_VALUE"""),553.696)</f>
        <v>553.69600000000003</v>
      </c>
      <c r="D1364" s="13"/>
    </row>
    <row r="1365" spans="1:4" ht="25.5">
      <c r="A1365" s="12" t="str">
        <f ca="1">IFERROR(__xludf.DUMMYFUNCTION("""COMPUTED_VALUE"""),"АС-У-5 4 Ом ПАШК.425541.030")</f>
        <v>АС-У-5 4 Ом ПАШК.425541.030</v>
      </c>
      <c r="B1365" s="13" t="str">
        <f ca="1">IFERROR(__xludf.DUMMYFUNCTION("""COMPUTED_VALUE"""),"Акустическая система речевого оповещения «колонка» - 4 Ом, 5Вт")</f>
        <v>Акустическая система речевого оповещения «колонка» - 4 Ом, 5Вт</v>
      </c>
      <c r="C1365" s="14">
        <f ca="1">IFERROR(__xludf.DUMMYFUNCTION("""COMPUTED_VALUE"""),778.635)</f>
        <v>778.63499999999999</v>
      </c>
      <c r="D1365" s="13"/>
    </row>
    <row r="1366" spans="1:4" ht="25.5">
      <c r="A1366" s="12" t="str">
        <f ca="1">IFERROR(__xludf.DUMMYFUNCTION("""COMPUTED_VALUE"""),"АС-У-5 8 Ом ПАШК.425541.030")</f>
        <v>АС-У-5 8 Ом ПАШК.425541.030</v>
      </c>
      <c r="B1366" s="13" t="str">
        <f ca="1">IFERROR(__xludf.DUMMYFUNCTION("""COMPUTED_VALUE"""),"Акустическая система речевого оповещения «колонка» - 8Ом, 5Вт")</f>
        <v>Акустическая система речевого оповещения «колонка» - 8Ом, 5Вт</v>
      </c>
      <c r="C1366" s="14">
        <f ca="1">IFERROR(__xludf.DUMMYFUNCTION("""COMPUTED_VALUE"""),778.635)</f>
        <v>778.63499999999999</v>
      </c>
      <c r="D1366" s="13"/>
    </row>
    <row r="1367" spans="1:4" ht="25.5">
      <c r="A1367" s="12" t="str">
        <f ca="1">IFERROR(__xludf.DUMMYFUNCTION("""COMPUTED_VALUE"""),"Устройство речевого оповещения ""Раскат"" ПАШК.425541.030")</f>
        <v>Устройство речевого оповещения "Раскат" ПАШК.425541.030</v>
      </c>
      <c r="B1367" s="13" t="str">
        <f ca="1">IFERROR(__xludf.DUMMYFUNCTION("""COMPUTED_VALUE"""),"в составе: БРО ""Раскат"", акустическая система АС-У-5М")</f>
        <v>в составе: БРО "Раскат", акустическая система АС-У-5М</v>
      </c>
      <c r="C1367" s="14">
        <f ca="1">IFERROR(__xludf.DUMMYFUNCTION("""COMPUTED_VALUE"""),3967.579)</f>
        <v>3967.5790000000002</v>
      </c>
      <c r="D1367" s="13"/>
    </row>
    <row r="1368" spans="1:4" ht="38.25">
      <c r="A1368" s="12" t="str">
        <f ca="1">IFERROR(__xludf.DUMMYFUNCTION("""COMPUTED_VALUE"""),"МУГС «Раскат» ПАШК. 425541.030-02")</f>
        <v>МУГС «Раскат» ПАШК. 425541.030-02</v>
      </c>
      <c r="B1368" s="13" t="str">
        <f ca="1">IFERROR(__xludf.DUMMYFUNCTION("""COMPUTED_VALUE"""),"Мини усилитель громкой связи, Uпит.-12В,мощность-10Вт, Imax в раб.режиме 1А, в дежурном режиме 10мА.")</f>
        <v>Мини усилитель громкой связи, Uпит.-12В,мощность-10Вт, Imax в раб.режиме 1А, в дежурном режиме 10мА.</v>
      </c>
      <c r="C1368" s="14">
        <f ca="1">IFERROR(__xludf.DUMMYFUNCTION("""COMPUTED_VALUE"""),1121.23)</f>
        <v>1121.23</v>
      </c>
      <c r="D1368" s="13"/>
    </row>
    <row r="1369" spans="1:4" ht="38.25">
      <c r="A1369" s="12" t="str">
        <f ca="1">IFERROR(__xludf.DUMMYFUNCTION("""COMPUTED_VALUE"""),"Блок согласования «Раскат» (БСР) ПАШК. 425541.030-01")</f>
        <v>Блок согласования «Раскат» (БСР) ПАШК. 425541.030-01</v>
      </c>
      <c r="B1369" s="13" t="str">
        <f ca="1">IFERROR(__xludf.DUMMYFUNCTION("""COMPUTED_VALUE"""),"Блок согласования,Uпит.12В,Imax-110мА- в раб.реж.,в дежурном режиме- не потребляет.")</f>
        <v>Блок согласования,Uпит.12В,Imax-110мА- в раб.реж.,в дежурном режиме- не потребляет.</v>
      </c>
      <c r="C1369" s="14">
        <f ca="1">IFERROR(__xludf.DUMMYFUNCTION("""COMPUTED_VALUE"""),744.029)</f>
        <v>744.029</v>
      </c>
      <c r="D1369" s="13"/>
    </row>
    <row r="1370" spans="1:4" ht="25.5">
      <c r="A1370" s="12" t="str">
        <f ca="1">IFERROR(__xludf.DUMMYFUNCTION("""COMPUTED_VALUE"""),"ИУЖ-2 «Венеция» 
ПАШК. 407733.028")</f>
        <v>ИУЖ-2 «Венеция» 
ПАШК. 407733.028</v>
      </c>
      <c r="B1370" s="13" t="str">
        <f ca="1">IFERROR(__xludf.DUMMYFUNCTION("""COMPUTED_VALUE"""),"Извещатель уровня жидкости")</f>
        <v>Извещатель уровня жидкости</v>
      </c>
      <c r="C1370" s="14">
        <f ca="1">IFERROR(__xludf.DUMMYFUNCTION("""COMPUTED_VALUE"""),1353)</f>
        <v>1353</v>
      </c>
      <c r="D1370" s="13"/>
    </row>
    <row r="1371" spans="1:4" ht="38.25">
      <c r="A1371" s="12" t="str">
        <f ca="1">IFERROR(__xludf.DUMMYFUNCTION("""COMPUTED_VALUE"""),"«Водолей-Р» исп.01 
ПАШК 407733.032")</f>
        <v>«Водолей-Р» исп.01 
ПАШК 407733.032</v>
      </c>
      <c r="B1371" s="13" t="str">
        <f ca="1">IFERROR(__xludf.DUMMYFUNCTION("""COMPUTED_VALUE"""),"Датчик влажности, релейного типа, диап. раб.напр. 10В-14В. Замкнут при отсутствии воды. С индикатором")</f>
        <v>Датчик влажности, релейного типа, диап. раб.напр. 10В-14В. Замкнут при отсутствии воды. С индикатором</v>
      </c>
      <c r="C1371" s="14">
        <f ca="1">IFERROR(__xludf.DUMMYFUNCTION("""COMPUTED_VALUE"""),1353)</f>
        <v>1353</v>
      </c>
      <c r="D1371" s="13"/>
    </row>
    <row r="1372" spans="1:4" ht="38.25">
      <c r="A1372" s="12" t="str">
        <f ca="1">IFERROR(__xludf.DUMMYFUNCTION("""COMPUTED_VALUE"""),"«Водолей-Р» исп.02 
ПАШК 407733.032")</f>
        <v>«Водолей-Р» исп.02 
ПАШК 407733.032</v>
      </c>
      <c r="B1372" s="13" t="str">
        <f ca="1">IFERROR(__xludf.DUMMYFUNCTION("""COMPUTED_VALUE"""),"Датчик влажности, релейного типа, диап.раб.напр. 10В-14В. Разомкнут при отсутствии воды. С индикатором.")</f>
        <v>Датчик влажности, релейного типа, диап.раб.напр. 10В-14В. Разомкнут при отсутствии воды. С индикатором.</v>
      </c>
      <c r="C1372" s="14">
        <f ca="1">IFERROR(__xludf.DUMMYFUNCTION("""COMPUTED_VALUE"""),1353)</f>
        <v>1353</v>
      </c>
      <c r="D1372" s="13"/>
    </row>
    <row r="1373" spans="1:4" ht="25.5">
      <c r="A1373" s="12" t="str">
        <f ca="1">IFERROR(__xludf.DUMMYFUNCTION("""COMPUTED_VALUE"""),"ИП 101-5-А1")</f>
        <v>ИП 101-5-А1</v>
      </c>
      <c r="B1373" s="13" t="str">
        <f ca="1">IFERROR(__xludf.DUMMYFUNCTION("""COMPUTED_VALUE"""),"Тепловой, темп. срабатывания от 54 до 65°С, IP20")</f>
        <v>Тепловой, темп. срабатывания от 54 до 65°С, IP20</v>
      </c>
      <c r="C1373" s="14">
        <f ca="1">IFERROR(__xludf.DUMMYFUNCTION("""COMPUTED_VALUE"""),333.9)</f>
        <v>333.9</v>
      </c>
      <c r="D1373" s="13"/>
    </row>
    <row r="1374" spans="1:4" ht="25.5">
      <c r="A1374" s="12" t="str">
        <f ca="1">IFERROR(__xludf.DUMMYFUNCTION("""COMPUTED_VALUE"""),"ИП 101-5-А3")</f>
        <v>ИП 101-5-А3</v>
      </c>
      <c r="B1374" s="13" t="str">
        <f ca="1">IFERROR(__xludf.DUMMYFUNCTION("""COMPUTED_VALUE"""),"Тепловой, темп. срабатывания от 64 до 76°С, IP20")</f>
        <v>Тепловой, темп. срабатывания от 64 до 76°С, IP20</v>
      </c>
      <c r="C1374" s="14">
        <f ca="1">IFERROR(__xludf.DUMMYFUNCTION("""COMPUTED_VALUE"""),333.9)</f>
        <v>333.9</v>
      </c>
      <c r="D1374" s="13"/>
    </row>
    <row r="1375" spans="1:4" ht="25.5">
      <c r="A1375" s="12" t="str">
        <f ca="1">IFERROR(__xludf.DUMMYFUNCTION("""COMPUTED_VALUE"""),"ИП 101-5-В")</f>
        <v>ИП 101-5-В</v>
      </c>
      <c r="B1375" s="13" t="str">
        <f ca="1">IFERROR(__xludf.DUMMYFUNCTION("""COMPUTED_VALUE"""),"Тепловой, темп. срабатывания от 69 до 85°С, IP20")</f>
        <v>Тепловой, темп. срабатывания от 69 до 85°С, IP20</v>
      </c>
      <c r="C1375" s="14">
        <f ca="1">IFERROR(__xludf.DUMMYFUNCTION("""COMPUTED_VALUE"""),333.9)</f>
        <v>333.9</v>
      </c>
      <c r="D1375" s="13"/>
    </row>
    <row r="1376" spans="1:4" ht="38.25">
      <c r="A1376" s="12" t="str">
        <f ca="1">IFERROR(__xludf.DUMMYFUNCTION("""COMPUTED_VALUE"""),"ИП 103-10-(А1) ПАШК 425212.050 (без ивс-2)")</f>
        <v>ИП 103-10-(А1) ПАШК 425212.050 (без ивс-2)</v>
      </c>
      <c r="B1376" s="13" t="str">
        <f ca="1">IFERROR(__xludf.DUMMYFUNCTION("""COMPUTED_VALUE"""),"Тепловой, встроенный световой индикатор,IP65, температура сраб. 54°С- 65°С")</f>
        <v>Тепловой, встроенный световой индикатор,IP65, температура сраб. 54°С- 65°С</v>
      </c>
      <c r="C1376" s="14">
        <f ca="1">IFERROR(__xludf.DUMMYFUNCTION("""COMPUTED_VALUE"""),1580)</f>
        <v>1580</v>
      </c>
      <c r="D1376" s="13"/>
    </row>
    <row r="1377" spans="1:4" ht="38.25">
      <c r="A1377" s="12" t="str">
        <f ca="1">IFERROR(__xludf.DUMMYFUNCTION("""COMPUTED_VALUE"""),"ИП 103-10-(А3) ПАШК 425212.050 (без ивс-2)")</f>
        <v>ИП 103-10-(А3) ПАШК 425212.050 (без ивс-2)</v>
      </c>
      <c r="B1377" s="13" t="str">
        <f ca="1">IFERROR(__xludf.DUMMYFUNCTION("""COMPUTED_VALUE"""),"Тепловой, встроенный световой индикатор, IP 65, темпер. сраб. 64°С -- 76°С")</f>
        <v>Тепловой, встроенный световой индикатор, IP 65, темпер. сраб. 64°С -- 76°С</v>
      </c>
      <c r="C1377" s="14">
        <f ca="1">IFERROR(__xludf.DUMMYFUNCTION("""COMPUTED_VALUE"""),1580)</f>
        <v>1580</v>
      </c>
      <c r="D1377" s="13"/>
    </row>
    <row r="1378" spans="1:4" ht="38.25">
      <c r="A1378" s="12" t="str">
        <f ca="1">IFERROR(__xludf.DUMMYFUNCTION("""COMPUTED_VALUE"""),"ИП 103-10-(А1) ПАШК 425212.050 (с ивс-2)")</f>
        <v>ИП 103-10-(А1) ПАШК 425212.050 (с ивс-2)</v>
      </c>
      <c r="B1378" s="13" t="str">
        <f ca="1">IFERROR(__xludf.DUMMYFUNCTION("""COMPUTED_VALUE"""),"Тепловой, встроенный световой индикатор,IP65, температура сраб. 54°С- 65°С")</f>
        <v>Тепловой, встроенный световой индикатор,IP65, температура сраб. 54°С- 65°С</v>
      </c>
      <c r="C1378" s="14">
        <f ca="1">IFERROR(__xludf.DUMMYFUNCTION("""COMPUTED_VALUE"""),1749.825)</f>
        <v>1749.825</v>
      </c>
      <c r="D1378" s="13"/>
    </row>
    <row r="1379" spans="1:4" ht="38.25">
      <c r="A1379" s="12" t="str">
        <f ca="1">IFERROR(__xludf.DUMMYFUNCTION("""COMPUTED_VALUE"""),"ИП 103-10-(А3) ПАШК 425212.050 (с ивс-2)")</f>
        <v>ИП 103-10-(А3) ПАШК 425212.050 (с ивс-2)</v>
      </c>
      <c r="B1379" s="13" t="str">
        <f ca="1">IFERROR(__xludf.DUMMYFUNCTION("""COMPUTED_VALUE"""),"Тепловой, встроенный световой индикатор, IP 65, темпер. сраб. 64°С -- 76°С")</f>
        <v>Тепловой, встроенный световой индикатор, IP 65, темпер. сраб. 64°С -- 76°С</v>
      </c>
      <c r="C1379" s="14">
        <f ca="1">IFERROR(__xludf.DUMMYFUNCTION("""COMPUTED_VALUE"""),1749.825)</f>
        <v>1749.825</v>
      </c>
      <c r="D1379" s="13"/>
    </row>
    <row r="1380" spans="1:4" ht="51">
      <c r="A1380" s="12" t="str">
        <f ca="1">IFERROR(__xludf.DUMMYFUNCTION("""COMPUTED_VALUE"""),"ИП 103-10 (А1, А3) в комплекте с Ус-4")</f>
        <v>ИП 103-10 (А1, А3) в комплекте с Ус-4</v>
      </c>
      <c r="B1380" s="13" t="str">
        <f ca="1">IFERROR(__xludf.DUMMYFUNCTION("""COMPUTED_VALUE"""),"Тепловой, встроенный световой индикатор, IP 65, темпер. сраб. 54°С- 65°С, 64°С -- 76°С. В комплекте с устройством соединительным Ус-4.")</f>
        <v>Тепловой, встроенный световой индикатор, IP 65, темпер. сраб. 54°С- 65°С, 64°С -- 76°С. В комплекте с устройством соединительным Ус-4.</v>
      </c>
      <c r="C1380" s="14">
        <f ca="1">IFERROR(__xludf.DUMMYFUNCTION("""COMPUTED_VALUE"""),1863.015)</f>
        <v>1863.0150000000001</v>
      </c>
      <c r="D1380" s="13"/>
    </row>
    <row r="1381" spans="1:4" ht="63.75">
      <c r="A1381" s="12" t="str">
        <f ca="1">IFERROR(__xludf.DUMMYFUNCTION("""COMPUTED_VALUE"""),"ИП 105-1 А1 ПАШК 425212.009 (без ивс-2)")</f>
        <v>ИП 105-1 А1 ПАШК 425212.009 (без ивс-2)</v>
      </c>
      <c r="B1381"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54°С- 65°С")</f>
        <v>Тепловой максимальный ,световая индикация, ток потребления не более 30мкА в дежурном режиме, ток потребления в режиме «Тревога» 30мА, 54°С- 65°С</v>
      </c>
      <c r="C1381" s="14">
        <f ca="1">IFERROR(__xludf.DUMMYFUNCTION("""COMPUTED_VALUE"""),641.025)</f>
        <v>641.02499999999998</v>
      </c>
      <c r="D1381" s="13"/>
    </row>
    <row r="1382" spans="1:4" ht="63.75">
      <c r="A1382" s="12" t="str">
        <f ca="1">IFERROR(__xludf.DUMMYFUNCTION("""COMPUTED_VALUE"""),"ИП 105-1 А3 ПАШК 425212.009 (без ивс-2)")</f>
        <v>ИП 105-1 А3 ПАШК 425212.009 (без ивс-2)</v>
      </c>
      <c r="B1382"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64°С -- 76°С.")</f>
        <v>Тепловой максимальный ,световая индикация, ток потребления не более 30мкА в дежурном режиме, ток потребления в режиме «Тревога» 30мА, 64°С -- 76°С.</v>
      </c>
      <c r="C1382" s="14">
        <f ca="1">IFERROR(__xludf.DUMMYFUNCTION("""COMPUTED_VALUE"""),641.025)</f>
        <v>641.02499999999998</v>
      </c>
      <c r="D1382" s="13"/>
    </row>
    <row r="1383" spans="1:4" ht="63.75">
      <c r="A1383" s="12" t="str">
        <f ca="1">IFERROR(__xludf.DUMMYFUNCTION("""COMPUTED_VALUE"""),"ИП 105-1 А1 ПАШК 425212.009 (с ивс-2)")</f>
        <v>ИП 105-1 А1 ПАШК 425212.009 (с ивс-2)</v>
      </c>
      <c r="B1383"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 54°С- 65°С")</f>
        <v>Тепловой максимальный ,световая индикация, ток потребления не более 30мкА в дежурном режиме, ток потребления в режиме «Тревога» 30мА, 54°С- 65°С</v>
      </c>
      <c r="C1383" s="14">
        <f ca="1">IFERROR(__xludf.DUMMYFUNCTION("""COMPUTED_VALUE"""),1061.445)</f>
        <v>1061.4449999999999</v>
      </c>
      <c r="D1383" s="13"/>
    </row>
    <row r="1384" spans="1:4" ht="63.75">
      <c r="A1384" s="12" t="str">
        <f ca="1">IFERROR(__xludf.DUMMYFUNCTION("""COMPUTED_VALUE"""),"ИП 105-1 А3 ПАШК 425212.009 (с ивс-2)")</f>
        <v>ИП 105-1 А3 ПАШК 425212.009 (с ивс-2)</v>
      </c>
      <c r="B1384" s="13" t="str">
        <f ca="1">IFERROR(__xludf.DUMMYFUNCTION("""COMPUTED_VALUE"""),"Тепловой максимальный ,световая индикация, ток потребления не более 30мкА в дежурном режиме, ток потребления в режиме «Тревога» 30мА,64°С -- 76°С.")</f>
        <v>Тепловой максимальный ,световая индикация, ток потребления не более 30мкА в дежурном режиме, ток потребления в режиме «Тревога» 30мА,64°С -- 76°С.</v>
      </c>
      <c r="C1384" s="14">
        <f ca="1">IFERROR(__xludf.DUMMYFUNCTION("""COMPUTED_VALUE"""),1061.445)</f>
        <v>1061.4449999999999</v>
      </c>
      <c r="D1384" s="13"/>
    </row>
    <row r="1385" spans="1:4" ht="12.75">
      <c r="A1385" s="12" t="str">
        <f ca="1">IFERROR(__xludf.DUMMYFUNCTION("""COMPUTED_VALUE"""),"ИП 105-1-Н")</f>
        <v>ИП 105-1-Н</v>
      </c>
      <c r="B1385" s="13" t="str">
        <f ca="1">IFERROR(__xludf.DUMMYFUNCTION("""COMPUTED_VALUE"""),"46-52°С, без индикации")</f>
        <v>46-52°С, без индикации</v>
      </c>
      <c r="C1385" s="14">
        <f ca="1">IFERROR(__xludf.DUMMYFUNCTION("""COMPUTED_VALUE"""),457.8)</f>
        <v>457.8</v>
      </c>
      <c r="D1385" s="13"/>
    </row>
    <row r="1386" spans="1:4" ht="25.5">
      <c r="A1386" s="12" t="str">
        <f ca="1">IFERROR(__xludf.DUMMYFUNCTION("""COMPUTED_VALUE"""),"ИП 105-1-Н АЛАБАЙ")</f>
        <v>ИП 105-1-Н АЛАБАЙ</v>
      </c>
      <c r="B1386" s="13" t="str">
        <f ca="1">IFERROR(__xludf.DUMMYFUNCTION("""COMPUTED_VALUE"""),"46-52°С, имеет выносное устройство индикации ИВС-3")</f>
        <v>46-52°С, имеет выносное устройство индикации ИВС-3</v>
      </c>
      <c r="C1386" s="14">
        <f ca="1">IFERROR(__xludf.DUMMYFUNCTION("""COMPUTED_VALUE"""),615.3)</f>
        <v>615.29999999999995</v>
      </c>
      <c r="D1386" s="13"/>
    </row>
    <row r="1387" spans="1:4" ht="12.75">
      <c r="A1387" s="12" t="str">
        <f ca="1">IFERROR(__xludf.DUMMYFUNCTION("""COMPUTED_VALUE"""),"ИП 105-1-Н АЯКС")</f>
        <v>ИП 105-1-Н АЯКС</v>
      </c>
      <c r="B1387" s="13" t="str">
        <f ca="1">IFERROR(__xludf.DUMMYFUNCTION("""COMPUTED_VALUE"""),"46-52°С, имеет встроенную индикацию")</f>
        <v>46-52°С, имеет встроенную индикацию</v>
      </c>
      <c r="C1387" s="14">
        <f ca="1">IFERROR(__xludf.DUMMYFUNCTION("""COMPUTED_VALUE"""),636.3)</f>
        <v>636.29999999999995</v>
      </c>
      <c r="D1387" s="13"/>
    </row>
    <row r="1388" spans="1:4" ht="127.5">
      <c r="A1388" s="12" t="str">
        <f ca="1">IFERROR(__xludf.DUMMYFUNCTION("""COMPUTED_VALUE"""),"ДТ 105-1-Н IP 20 ПАШК 425212.022-2")</f>
        <v>ДТ 105-1-Н IP 20 ПАШК 425212.022-2</v>
      </c>
      <c r="B1388" s="13" t="str">
        <f ca="1">IFERROR(__xludf.DUMMYFUNCTION("""COMPUTED_VALUE"""),"Датчик температурный, предназначен для круглосуточной работы с целью обнаружения повышения температуры до номинальной в моторных отсеках автотранспорта, термошкафах и др. Датчик имеет НР контакты и выдает информацию о повышении температуры до номинальной "&amp;"путем замыкания контактов датчика. Номинальная температура срабатывания 165 град.С")</f>
        <v>Датчик температурный, предназначен для круглосуточной работы с целью обнаружения повышения температуры до номинальной в моторных отсеках автотранспорта, термошкафах и др. Датчик имеет НР контакты и выдает информацию о повышении температуры до номинальной путем замыкания контактов датчика. Номинальная температура срабатывания 165 град.С</v>
      </c>
      <c r="C1388" s="14">
        <f ca="1">IFERROR(__xludf.DUMMYFUNCTION("""COMPUTED_VALUE"""),425.04)</f>
        <v>425.04</v>
      </c>
      <c r="D1388" s="13"/>
    </row>
    <row r="1389" spans="1:4" ht="25.5">
      <c r="A1389" s="12" t="str">
        <f ca="1">IFERROR(__xludf.DUMMYFUNCTION("""COMPUTED_VALUE"""),"ИП 105-1 D «САУНА» ПАШК 425212.022")</f>
        <v>ИП 105-1 D «САУНА» ПАШК 425212.022</v>
      </c>
      <c r="B1389" s="13" t="str">
        <f ca="1">IFERROR(__xludf.DUMMYFUNCTION("""COMPUTED_VALUE"""),"Температура срабатывания от 99 °С до 115 °С , НЗ")</f>
        <v>Температура срабатывания от 99 °С до 115 °С , НЗ</v>
      </c>
      <c r="C1389" s="14">
        <f ca="1">IFERROR(__xludf.DUMMYFUNCTION("""COMPUTED_VALUE"""),1063.755)</f>
        <v>1063.7550000000001</v>
      </c>
      <c r="D1389" s="13"/>
    </row>
    <row r="1390" spans="1:4" ht="25.5">
      <c r="A1390" s="12" t="str">
        <f ca="1">IFERROR(__xludf.DUMMYFUNCTION("""COMPUTED_VALUE"""),"ИП 105-1 G «САУНА-150» ПАШК 425212.022-01")</f>
        <v>ИП 105-1 G «САУНА-150» ПАШК 425212.022-01</v>
      </c>
      <c r="B1390" s="13" t="str">
        <f ca="1">IFERROR(__xludf.DUMMYFUNCTION("""COMPUTED_VALUE"""),"Извещатель тепловой, с диапазоном температур 144°С-160°С. НЗ")</f>
        <v>Извещатель тепловой, с диапазоном температур 144°С-160°С. НЗ</v>
      </c>
      <c r="C1390" s="14">
        <f ca="1">IFERROR(__xludf.DUMMYFUNCTION("""COMPUTED_VALUE"""),1852.62)</f>
        <v>1852.62</v>
      </c>
      <c r="D1390" s="13"/>
    </row>
    <row r="1391" spans="1:4" ht="25.5">
      <c r="A1391" s="12" t="str">
        <f ca="1">IFERROR(__xludf.DUMMYFUNCTION("""COMPUTED_VALUE"""),"ИВС-1 ПАШК.425212.009")</f>
        <v>ИВС-1 ПАШК.425212.009</v>
      </c>
      <c r="B1391" s="13" t="str">
        <f ca="1">IFERROR(__xludf.DUMMYFUNCTION("""COMPUTED_VALUE"""),"Индикатор выносной световой с возможностью оконечника.")</f>
        <v>Индикатор выносной световой с возможностью оконечника.</v>
      </c>
      <c r="C1391" s="14">
        <f ca="1">IFERROR(__xludf.DUMMYFUNCTION("""COMPUTED_VALUE"""),198.4521)</f>
        <v>198.4521</v>
      </c>
      <c r="D1391" s="13"/>
    </row>
    <row r="1392" spans="1:4" ht="63.75">
      <c r="A1392" s="12" t="str">
        <f ca="1">IFERROR(__xludf.DUMMYFUNCTION("""COMPUTED_VALUE"""),"ИВС-2 ПАШК.425543.024")</f>
        <v>ИВС-2 ПАШК.425543.024</v>
      </c>
      <c r="B1392" s="13" t="str">
        <f ca="1">IFERROR(__xludf.DUMMYFUNCTION("""COMPUTED_VALUE"""),"Индикатор выносной световой с возможностью оконечника. Индикатор обеспечивает контроль как однополярных так и двухполярных шлейфов сигнализации.")</f>
        <v>Индикатор выносной световой с возможностью оконечника. Индикатор обеспечивает контроль как однополярных так и двухполярных шлейфов сигнализации.</v>
      </c>
      <c r="C1392" s="14">
        <f ca="1">IFERROR(__xludf.DUMMYFUNCTION("""COMPUTED_VALUE"""),381.15)</f>
        <v>381.15</v>
      </c>
      <c r="D1392" s="13"/>
    </row>
    <row r="1393" spans="1:4" ht="38.25">
      <c r="A1393" s="12" t="str">
        <f ca="1">IFERROR(__xludf.DUMMYFUNCTION("""COMPUTED_VALUE"""),"ИП 115-1-А1R1 «Макс» ПАШК.425214.001")</f>
        <v>ИП 115-1-А1R1 «Макс» ПАШК.425214.001</v>
      </c>
      <c r="B1393" s="13" t="str">
        <f ca="1">IFERROR(__xludf.DUMMYFUNCTION("""COMPUTED_VALUE"""),"Максимально-дифференциальный, тепловой, температура срабатывания от 54 до 65 °С , IP 20")</f>
        <v>Максимально-дифференциальный, тепловой, температура срабатывания от 54 до 65 °С , IP 20</v>
      </c>
      <c r="C1393" s="14">
        <f ca="1">IFERROR(__xludf.DUMMYFUNCTION("""COMPUTED_VALUE"""),981.99255)</f>
        <v>981.99255000000005</v>
      </c>
      <c r="D1393" s="13"/>
    </row>
    <row r="1394" spans="1:4" ht="38.25">
      <c r="A1394" s="12" t="str">
        <f ca="1">IFERROR(__xludf.DUMMYFUNCTION("""COMPUTED_VALUE"""),"ИП 115-1-А1R1 (IP44) «Макс» ПАШК.425214.002")</f>
        <v>ИП 115-1-А1R1 (IP44) «Макс» ПАШК.425214.002</v>
      </c>
      <c r="B1394" s="13" t="str">
        <f ca="1">IFERROR(__xludf.DUMMYFUNCTION("""COMPUTED_VALUE"""),"Максимально-дифференциальный, тепловой, температура срабатывания от 54 до 65 °С , IP44")</f>
        <v>Максимально-дифференциальный, тепловой, температура срабатывания от 54 до 65 °С , IP44</v>
      </c>
      <c r="C1394" s="14">
        <f ca="1">IFERROR(__xludf.DUMMYFUNCTION("""COMPUTED_VALUE"""),1462.8999)</f>
        <v>1462.8998999999999</v>
      </c>
      <c r="D1394" s="13"/>
    </row>
    <row r="1395" spans="1:4" ht="38.25">
      <c r="A1395" s="12" t="str">
        <f ca="1">IFERROR(__xludf.DUMMYFUNCTION("""COMPUTED_VALUE"""),"ИП 115-1-А3R1 (IP44) «Макс» ПАШК.425214.002")</f>
        <v>ИП 115-1-А3R1 (IP44) «Макс» ПАШК.425214.002</v>
      </c>
      <c r="B1395" s="13" t="str">
        <f ca="1">IFERROR(__xludf.DUMMYFUNCTION("""COMPUTED_VALUE"""),"Максимально-дифференциальный, тепловой, температура срабатывания от 64 до 76 °С , IP 44")</f>
        <v>Максимально-дифференциальный, тепловой, температура срабатывания от 64 до 76 °С , IP 44</v>
      </c>
      <c r="C1395" s="14">
        <f ca="1">IFERROR(__xludf.DUMMYFUNCTION("""COMPUTED_VALUE"""),1462.8999)</f>
        <v>1462.8998999999999</v>
      </c>
      <c r="D1395" s="13"/>
    </row>
    <row r="1396" spans="1:4" ht="38.25">
      <c r="A1396" s="12" t="str">
        <f ca="1">IFERROR(__xludf.DUMMYFUNCTION("""COMPUTED_VALUE"""),"ИП 115-1-CR1 (IP44) «Макс» ПАШК.425214.002")</f>
        <v>ИП 115-1-CR1 (IP44) «Макс» ПАШК.425214.002</v>
      </c>
      <c r="B1396" s="13" t="str">
        <f ca="1">IFERROR(__xludf.DUMMYFUNCTION("""COMPUTED_VALUE"""),"Максимально-дифференциальный, тепловой, температура срабатывания от 84 до 100 °С , IP 44")</f>
        <v>Максимально-дифференциальный, тепловой, температура срабатывания от 84 до 100 °С , IP 44</v>
      </c>
      <c r="C1396" s="14">
        <f ca="1">IFERROR(__xludf.DUMMYFUNCTION("""COMPUTED_VALUE"""),1755.4152)</f>
        <v>1755.4151999999999</v>
      </c>
      <c r="D1396" s="13"/>
    </row>
    <row r="1397" spans="1:4" ht="25.5">
      <c r="A1397" s="12" t="str">
        <f ca="1">IFERROR(__xludf.DUMMYFUNCTION("""COMPUTED_VALUE"""),"ИПР 514-2 И «Культ» ПАШК.425211.010")</f>
        <v>ИПР 514-2 И «Культ» ПАШК.425211.010</v>
      </c>
      <c r="B1397" s="13" t="str">
        <f ca="1">IFERROR(__xludf.DUMMYFUNCTION("""COMPUTED_VALUE"""),"Извещатель пожарный ручной, с индикацией. металл.педаль 10-72В, IP41")</f>
        <v>Извещатель пожарный ручной, с индикацией. металл.педаль 10-72В, IP41</v>
      </c>
      <c r="C1397" s="14">
        <f ca="1">IFERROR(__xludf.DUMMYFUNCTION("""COMPUTED_VALUE"""),5813.808)</f>
        <v>5813.808</v>
      </c>
      <c r="D1397" s="13"/>
    </row>
    <row r="1398" spans="1:4" ht="25.5">
      <c r="A1398" s="12" t="str">
        <f ca="1">IFERROR(__xludf.DUMMYFUNCTION("""COMPUTED_VALUE"""),"ИПР 514-2 И «Культ» (с ивс-2) ПАШК.425211.010")</f>
        <v>ИПР 514-2 И «Культ» (с ивс-2) ПАШК.425211.010</v>
      </c>
      <c r="B1398" s="13" t="str">
        <f ca="1">IFERROR(__xludf.DUMMYFUNCTION("""COMPUTED_VALUE"""),"Извещатель пожарный ручной, с индикацией. металл.педаль 10-72В, IP41")</f>
        <v>Извещатель пожарный ручной, с индикацией. металл.педаль 10-72В, IP41</v>
      </c>
      <c r="C1398" s="14">
        <f ca="1">IFERROR(__xludf.DUMMYFUNCTION("""COMPUTED_VALUE"""),6159.00285)</f>
        <v>6159.0028499999999</v>
      </c>
      <c r="D1398" s="13"/>
    </row>
    <row r="1399" spans="1:4" ht="51">
      <c r="A1399" s="12" t="str">
        <f ca="1">IFERROR(__xludf.DUMMYFUNCTION("""COMPUTED_VALUE"""),"ИП 535-26 «Север» (без ИВС-2 ) Старый корпус АТФЕ.425211.001")</f>
        <v>ИП 535-26 «Север» (без ИВС-2 ) Старый корпус АТФЕ.425211.001</v>
      </c>
      <c r="B1399" s="13" t="str">
        <f ca="1">IFERROR(__xludf.DUMMYFUNCTION("""COMPUTED_VALUE"""),"U пит. 9÷30В, 20мА, темп.окр.среды -40°С…+60° С. Извещатель пожарный ручной, с переключающимся герконом, IP 66")</f>
        <v>U пит. 9÷30В, 20мА, темп.окр.среды -40°С…+60° С. Извещатель пожарный ручной, с переключающимся герконом, IP 66</v>
      </c>
      <c r="C1399" s="14">
        <f ca="1">IFERROR(__xludf.DUMMYFUNCTION("""COMPUTED_VALUE"""),6168.5195)</f>
        <v>6168.5195000000003</v>
      </c>
      <c r="D1399" s="13"/>
    </row>
    <row r="1400" spans="1:4" ht="51">
      <c r="A1400" s="12" t="str">
        <f ca="1">IFERROR(__xludf.DUMMYFUNCTION("""COMPUTED_VALUE"""),"ИП 535-26 «Север» (с ИВС-2 ) Старый корпус АТФЕ.425211.001")</f>
        <v>ИП 535-26 «Север» (с ИВС-2 ) Старый корпус АТФЕ.425211.001</v>
      </c>
      <c r="B1400" s="13" t="str">
        <f ca="1">IFERROR(__xludf.DUMMYFUNCTION("""COMPUTED_VALUE"""),"U пит. 9÷30В, 20мА, темп.окр.среды -40°С…+60° С. Извещатель пожарный ручной, с переключающимся герконом, IP 66")</f>
        <v>U пит. 9÷30В, 20мА, темп.окр.среды -40°С…+60° С. Извещатель пожарный ручной, с переключающимся герконом, IP 66</v>
      </c>
      <c r="C1400" s="14">
        <f ca="1">IFERROR(__xludf.DUMMYFUNCTION("""COMPUTED_VALUE"""),6546.5961)</f>
        <v>6546.5960999999998</v>
      </c>
      <c r="D1400" s="13"/>
    </row>
    <row r="1401" spans="1:4" ht="153">
      <c r="A1401" s="12" t="str">
        <f ca="1">IFERROR(__xludf.DUMMYFUNCTION("""COMPUTED_VALUE"""),"УДП 535-26 Север IP66 (пуск пожаротушения) (дымоудаление) (аварийный выход) (без ИВС-2) АТФЕ.425211.002 ТУ")</f>
        <v>УДП 535-26 Север IP66 (пуск пожаротушения) (дымоудаление) (аварийный выход) (без ИВС-2) АТФЕ.425211.002 ТУ</v>
      </c>
      <c r="B1401" s="13" t="str">
        <f ca="1">IFERROR(__xludf.DUMMYFUNCTION("""COMPUTED_VALUE"""),"Устройство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магнитоконтактно"&amp;"го приводного элемента. Надпись назначения на ручке: ""Пуск пожаротушения"" или ""Дымоудаление"" или ""Аварийный выход"".")</f>
        <v>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магнитоконтактного приводного элемента. Надпись назначения на ручке: "Пуск пожаротушения" или "Дымоудаление" или "Аварийный выход".</v>
      </c>
      <c r="C1401" s="14">
        <f ca="1">IFERROR(__xludf.DUMMYFUNCTION("""COMPUTED_VALUE"""),5346.7238)</f>
        <v>5346.7237999999998</v>
      </c>
      <c r="D1401" s="13"/>
    </row>
    <row r="1402" spans="1:4" ht="153">
      <c r="A1402" s="12" t="str">
        <f ca="1">IFERROR(__xludf.DUMMYFUNCTION("""COMPUTED_VALUE"""),"УДП 535-26 Север IP66 (пуск пожаротушения) (дымоудаление) (аварийный выход) (с ИВС-2) АТФЕ.425211.002 ТУ")</f>
        <v>УДП 535-26 Север IP66 (пуск пожаротушения) (дымоудаление) (аварийный выход) (с ИВС-2) АТФЕ.425211.002 ТУ</v>
      </c>
      <c r="B1402" s="13" t="str">
        <f ca="1">IFERROR(__xludf.DUMMYFUNCTION("""COMPUTED_VALUE"""),"Устройство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магнитоконтактно"&amp;"го приводного элемента. Надпись назначения на ручке: ""Пуск пожаротушения"" или ""Дымоудаление"" или ""Аварийный выход"".")</f>
        <v>Устройство дистанционного пуска УДП 535 – 26 «СЕВЕР» предназначено для запуска систем пожарной автоматики, систем дымоудаления, формирования аварийных сигналов или сигналов для разблокирования аварийных выходов при включении (отламывании) магнитоконтактного приводного элемента. Надпись назначения на ручке: "Пуск пожаротушения" или "Дымоудаление" или "Аварийный выход".</v>
      </c>
      <c r="C1402" s="14">
        <f ca="1">IFERROR(__xludf.DUMMYFUNCTION("""COMPUTED_VALUE"""),5764.5852)</f>
        <v>5764.5852000000004</v>
      </c>
      <c r="D1402" s="13"/>
    </row>
    <row r="1403" spans="1:4" ht="25.5">
      <c r="A1403" s="12" t="str">
        <f ca="1">IFERROR(__xludf.DUMMYFUNCTION("""COMPUTED_VALUE"""),"ИП 105-1-(50°С) ПАШК.425212.009")</f>
        <v>ИП 105-1-(50°С) ПАШК.425212.009</v>
      </c>
      <c r="B1403" s="13" t="str">
        <f ca="1">IFERROR(__xludf.DUMMYFUNCTION("""COMPUTED_VALUE"""),"Температура срабатывания 50 °С, НЗ, IP 20, в комплекте с ИВС-1")</f>
        <v>Температура срабатывания 50 °С, НЗ, IP 20, в комплекте с ИВС-1</v>
      </c>
      <c r="C1403" s="14">
        <f ca="1">IFERROR(__xludf.DUMMYFUNCTION("""COMPUTED_VALUE"""),635)</f>
        <v>635</v>
      </c>
      <c r="D1403" s="13"/>
    </row>
    <row r="1404" spans="1:4" ht="25.5">
      <c r="A1404" s="12" t="str">
        <f ca="1">IFERROR(__xludf.DUMMYFUNCTION("""COMPUTED_VALUE"""),"ИП 105-1-(50°С) без ИВС ПАШК.425212.009")</f>
        <v>ИП 105-1-(50°С) без ИВС ПАШК.425212.009</v>
      </c>
      <c r="B1404" s="13" t="str">
        <f ca="1">IFERROR(__xludf.DUMMYFUNCTION("""COMPUTED_VALUE"""),"Температура срабатывания 50 °С, НЗ, IP 20")</f>
        <v>Температура срабатывания 50 °С, НЗ, IP 20</v>
      </c>
      <c r="C1404" s="14">
        <f ca="1">IFERROR(__xludf.DUMMYFUNCTION("""COMPUTED_VALUE"""),457)</f>
        <v>457</v>
      </c>
      <c r="D1404" s="13"/>
    </row>
    <row r="1405" spans="1:4" ht="12.75">
      <c r="A1405" s="15"/>
      <c r="B1405" s="13"/>
      <c r="C1405" s="13"/>
      <c r="D1405" s="13"/>
    </row>
    <row r="1406" spans="1:4" ht="12.75">
      <c r="A1406" s="15"/>
      <c r="B1406" s="13"/>
      <c r="C1406" s="13"/>
      <c r="D1406" s="13"/>
    </row>
    <row r="1407" spans="1:4" ht="12.75">
      <c r="A1407" s="15"/>
      <c r="B1407" s="13"/>
      <c r="C1407" s="13"/>
      <c r="D1407" s="13"/>
    </row>
    <row r="1408" spans="1:4" ht="12.75">
      <c r="A1408" s="15"/>
      <c r="B1408" s="13"/>
      <c r="C1408" s="13"/>
      <c r="D1408" s="13"/>
    </row>
    <row r="1409" spans="1:4" ht="12.75">
      <c r="A1409" s="15"/>
      <c r="B1409" s="13"/>
      <c r="C1409" s="13"/>
      <c r="D1409" s="13"/>
    </row>
    <row r="1410" spans="1:4" ht="12.75">
      <c r="A1410" s="15"/>
      <c r="B1410" s="13"/>
      <c r="C1410" s="13"/>
      <c r="D1410" s="13"/>
    </row>
    <row r="1411" spans="1:4" ht="12.75">
      <c r="A1411" s="15"/>
      <c r="B1411" s="13"/>
      <c r="C1411" s="13"/>
      <c r="D1411" s="13"/>
    </row>
    <row r="1412" spans="1:4" ht="12.75">
      <c r="A1412" s="15"/>
      <c r="B1412" s="13"/>
      <c r="C1412" s="13"/>
      <c r="D1412" s="13"/>
    </row>
    <row r="1413" spans="1:4" ht="12.75">
      <c r="A1413" s="15"/>
      <c r="B1413" s="13"/>
      <c r="C1413" s="13"/>
      <c r="D1413" s="13"/>
    </row>
    <row r="1414" spans="1:4" ht="12.75">
      <c r="A1414" s="15"/>
      <c r="B1414" s="13"/>
      <c r="C1414" s="13"/>
      <c r="D1414" s="13"/>
    </row>
    <row r="1415" spans="1:4" ht="12.75">
      <c r="A1415" s="15"/>
      <c r="B1415" s="13"/>
      <c r="C1415" s="13"/>
      <c r="D1415" s="13"/>
    </row>
    <row r="1416" spans="1:4" ht="12.75">
      <c r="A1416" s="15"/>
      <c r="B1416" s="13"/>
      <c r="C1416" s="13"/>
      <c r="D1416" s="13"/>
    </row>
    <row r="1417" spans="1:4" ht="12.75">
      <c r="A1417" s="15"/>
      <c r="B1417" s="13"/>
      <c r="C1417" s="13"/>
      <c r="D1417" s="13"/>
    </row>
    <row r="1418" spans="1:4" ht="12.75">
      <c r="A1418" s="15"/>
      <c r="B1418" s="13"/>
      <c r="C1418" s="13"/>
      <c r="D1418" s="13"/>
    </row>
    <row r="1419" spans="1:4" ht="12.75">
      <c r="A1419" s="15"/>
      <c r="B1419" s="13"/>
      <c r="C1419" s="13"/>
      <c r="D1419" s="13"/>
    </row>
    <row r="1420" spans="1:4" ht="12.75">
      <c r="A1420" s="15"/>
      <c r="B1420" s="13"/>
      <c r="C1420" s="13"/>
      <c r="D1420" s="13"/>
    </row>
    <row r="1421" spans="1:4" ht="12.75">
      <c r="A1421" s="15"/>
      <c r="B1421" s="13"/>
      <c r="C1421" s="13"/>
      <c r="D1421" s="13"/>
    </row>
    <row r="1422" spans="1:4" ht="12.75">
      <c r="A1422" s="15"/>
      <c r="B1422" s="13"/>
      <c r="C1422" s="13"/>
      <c r="D1422" s="13"/>
    </row>
    <row r="1423" spans="1:4" ht="12.75">
      <c r="A1423" s="15"/>
      <c r="B1423" s="13"/>
      <c r="C1423" s="13"/>
      <c r="D1423" s="13"/>
    </row>
    <row r="1424" spans="1:4" ht="12.75">
      <c r="A1424" s="15"/>
      <c r="B1424" s="13"/>
      <c r="C1424" s="13"/>
      <c r="D1424" s="13"/>
    </row>
    <row r="1425" spans="1:4" ht="12.75">
      <c r="A1425" s="15"/>
      <c r="B1425" s="13"/>
      <c r="C1425" s="13"/>
      <c r="D1425" s="13"/>
    </row>
    <row r="1426" spans="1:4" ht="12.75">
      <c r="A1426" s="15"/>
      <c r="B1426" s="13"/>
      <c r="C1426" s="13"/>
      <c r="D1426" s="13"/>
    </row>
    <row r="1427" spans="1:4" ht="12.75">
      <c r="A1427" s="15"/>
      <c r="B1427" s="13"/>
      <c r="C1427" s="13"/>
      <c r="D1427" s="13"/>
    </row>
    <row r="1428" spans="1:4" ht="12.75">
      <c r="A1428" s="15"/>
      <c r="B1428" s="13"/>
      <c r="C1428" s="13"/>
      <c r="D1428" s="13"/>
    </row>
    <row r="1429" spans="1:4" ht="12.75">
      <c r="A1429" s="15"/>
      <c r="B1429" s="13"/>
      <c r="C1429" s="13"/>
      <c r="D1429" s="13"/>
    </row>
    <row r="1430" spans="1:4" ht="12.75">
      <c r="A1430" s="15"/>
      <c r="B1430" s="13"/>
      <c r="C1430" s="13"/>
      <c r="D1430" s="13"/>
    </row>
    <row r="1431" spans="1:4" ht="12.75">
      <c r="A1431" s="15"/>
      <c r="B1431" s="13"/>
      <c r="C1431" s="13"/>
      <c r="D1431" s="13"/>
    </row>
    <row r="1432" spans="1:4" ht="12.75">
      <c r="A1432" s="15"/>
      <c r="B1432" s="13"/>
      <c r="C1432" s="13"/>
      <c r="D1432" s="13"/>
    </row>
    <row r="1433" spans="1:4" ht="12.75">
      <c r="A1433" s="15"/>
      <c r="B1433" s="13"/>
      <c r="C1433" s="13"/>
      <c r="D1433" s="13"/>
    </row>
    <row r="1434" spans="1:4" ht="12.75">
      <c r="A1434" s="15"/>
      <c r="B1434" s="13"/>
      <c r="C1434" s="13"/>
      <c r="D1434" s="13"/>
    </row>
    <row r="1435" spans="1:4" ht="12.75">
      <c r="A1435" s="15"/>
      <c r="B1435" s="13"/>
      <c r="C1435" s="13"/>
      <c r="D1435" s="13"/>
    </row>
    <row r="1436" spans="1:4" ht="12.75">
      <c r="A1436" s="15"/>
      <c r="B1436" s="13"/>
      <c r="C1436" s="13"/>
      <c r="D1436" s="13"/>
    </row>
    <row r="1437" spans="1:4" ht="12.75">
      <c r="A1437" s="15"/>
      <c r="B1437" s="13"/>
      <c r="C1437" s="13"/>
      <c r="D1437" s="13"/>
    </row>
    <row r="1438" spans="1:4" ht="12.75">
      <c r="A1438" s="15"/>
      <c r="B1438" s="13"/>
      <c r="C1438" s="13"/>
      <c r="D1438" s="13"/>
    </row>
    <row r="1439" spans="1:4" ht="12.75">
      <c r="A1439" s="15"/>
      <c r="B1439" s="13"/>
      <c r="C1439" s="13"/>
      <c r="D1439" s="13"/>
    </row>
    <row r="1440" spans="1:4" ht="12.75">
      <c r="A1440" s="15"/>
      <c r="B1440" s="13"/>
      <c r="C1440" s="13"/>
      <c r="D1440" s="13"/>
    </row>
    <row r="1441" spans="1:4" ht="12.75">
      <c r="A1441" s="15"/>
      <c r="B1441" s="13"/>
      <c r="C1441" s="13"/>
      <c r="D1441" s="13"/>
    </row>
    <row r="1442" spans="1:4" ht="12.75">
      <c r="A1442" s="15"/>
      <c r="B1442" s="13"/>
      <c r="C1442" s="13"/>
      <c r="D1442" s="13"/>
    </row>
    <row r="1443" spans="1:4" ht="12.75">
      <c r="A1443" s="15"/>
      <c r="B1443" s="13"/>
      <c r="C1443" s="13"/>
      <c r="D1443" s="13"/>
    </row>
    <row r="1444" spans="1:4" ht="12.75">
      <c r="A1444" s="15"/>
      <c r="B1444" s="13"/>
      <c r="C1444" s="13"/>
      <c r="D1444" s="13"/>
    </row>
    <row r="1445" spans="1:4" ht="12.75">
      <c r="A1445" s="15"/>
      <c r="B1445" s="13"/>
      <c r="C1445" s="13"/>
      <c r="D1445" s="13"/>
    </row>
    <row r="1446" spans="1:4" ht="12.75">
      <c r="A1446" s="15"/>
      <c r="B1446" s="13"/>
      <c r="C1446" s="13"/>
      <c r="D1446" s="13"/>
    </row>
    <row r="1447" spans="1:4" ht="12.75">
      <c r="A1447" s="15"/>
      <c r="B1447" s="13"/>
      <c r="C1447" s="13"/>
      <c r="D1447" s="13"/>
    </row>
    <row r="1448" spans="1:4" ht="12.75">
      <c r="A1448" s="15"/>
      <c r="B1448" s="13"/>
      <c r="C1448" s="13"/>
      <c r="D1448" s="13"/>
    </row>
    <row r="1449" spans="1:4" ht="12.75">
      <c r="A1449" s="15"/>
      <c r="B1449" s="13"/>
      <c r="C1449" s="13"/>
      <c r="D1449" s="13"/>
    </row>
    <row r="1450" spans="1:4" ht="12.75">
      <c r="A1450" s="15"/>
      <c r="B1450" s="13"/>
      <c r="C1450" s="13"/>
      <c r="D1450" s="13"/>
    </row>
    <row r="1451" spans="1:4" ht="12.75">
      <c r="A1451" s="15"/>
      <c r="B1451" s="13"/>
      <c r="C1451" s="13"/>
      <c r="D1451" s="13"/>
    </row>
    <row r="1452" spans="1:4" ht="12.75">
      <c r="A1452" s="15"/>
      <c r="B1452" s="13"/>
      <c r="C1452" s="13"/>
      <c r="D1452" s="13"/>
    </row>
    <row r="1453" spans="1:4" ht="12.75">
      <c r="A1453" s="15"/>
      <c r="B1453" s="13"/>
      <c r="C1453" s="13"/>
      <c r="D1453" s="13"/>
    </row>
    <row r="1454" spans="1:4" ht="12.75">
      <c r="A1454" s="15"/>
      <c r="B1454" s="13"/>
      <c r="C1454" s="13"/>
      <c r="D1454" s="13"/>
    </row>
    <row r="1455" spans="1:4" ht="12.75">
      <c r="A1455" s="15"/>
      <c r="B1455" s="13"/>
      <c r="C1455" s="13"/>
      <c r="D1455" s="13"/>
    </row>
    <row r="1456" spans="1:4" ht="12.75">
      <c r="A1456" s="15"/>
      <c r="B1456" s="13"/>
      <c r="C1456" s="13"/>
      <c r="D1456" s="13"/>
    </row>
    <row r="1457" spans="1:4" ht="12.75">
      <c r="A1457" s="15"/>
      <c r="B1457" s="13"/>
      <c r="C1457" s="13"/>
      <c r="D1457" s="13"/>
    </row>
    <row r="1458" spans="1:4" ht="12.75">
      <c r="A1458" s="15"/>
      <c r="B1458" s="13"/>
      <c r="C1458" s="13"/>
      <c r="D1458" s="13"/>
    </row>
    <row r="1459" spans="1:4" ht="12.75">
      <c r="A1459" s="15"/>
      <c r="B1459" s="13"/>
      <c r="C1459" s="13"/>
      <c r="D1459" s="13"/>
    </row>
    <row r="1460" spans="1:4" ht="12.75">
      <c r="A1460" s="15"/>
      <c r="B1460" s="13"/>
      <c r="C1460" s="13"/>
      <c r="D1460" s="13"/>
    </row>
    <row r="1461" spans="1:4" ht="12.75">
      <c r="A1461" s="15"/>
      <c r="B1461" s="13"/>
      <c r="C1461" s="13"/>
      <c r="D1461" s="13"/>
    </row>
    <row r="1462" spans="1:4" ht="12.75">
      <c r="A1462" s="15"/>
      <c r="B1462" s="13"/>
      <c r="C1462" s="13"/>
      <c r="D1462" s="13"/>
    </row>
    <row r="1463" spans="1:4" ht="12.75">
      <c r="A1463" s="15"/>
      <c r="B1463" s="13"/>
      <c r="C1463" s="13"/>
      <c r="D1463" s="13"/>
    </row>
    <row r="1464" spans="1:4" ht="12.75">
      <c r="A1464" s="15"/>
      <c r="B1464" s="13"/>
      <c r="C1464" s="13"/>
      <c r="D1464" s="13"/>
    </row>
    <row r="1465" spans="1:4" ht="12.75">
      <c r="A1465" s="15"/>
      <c r="B1465" s="13"/>
      <c r="C1465" s="13"/>
      <c r="D1465" s="13"/>
    </row>
    <row r="1466" spans="1:4" ht="12.75">
      <c r="A1466" s="15"/>
      <c r="B1466" s="13"/>
      <c r="C1466" s="13"/>
      <c r="D1466" s="13"/>
    </row>
    <row r="1467" spans="1:4" ht="12.75">
      <c r="A1467" s="15"/>
      <c r="B1467" s="13"/>
      <c r="C1467" s="13"/>
      <c r="D1467" s="13"/>
    </row>
    <row r="1468" spans="1:4" ht="12.75">
      <c r="A1468" s="15"/>
      <c r="B1468" s="13"/>
      <c r="C1468" s="13"/>
      <c r="D1468" s="13"/>
    </row>
    <row r="1469" spans="1:4" ht="12.75">
      <c r="A1469" s="15"/>
      <c r="B1469" s="13"/>
      <c r="C1469" s="13"/>
      <c r="D1469" s="13"/>
    </row>
    <row r="1470" spans="1:4" ht="12.75">
      <c r="A1470" s="15"/>
      <c r="B1470" s="13"/>
      <c r="C1470" s="13"/>
      <c r="D1470" s="13"/>
    </row>
    <row r="1471" spans="1:4" ht="12.75">
      <c r="A1471" s="15"/>
      <c r="B1471" s="13"/>
      <c r="C1471" s="13"/>
      <c r="D1471" s="13"/>
    </row>
    <row r="1472" spans="1:4" ht="12.75">
      <c r="A1472" s="15"/>
      <c r="B1472" s="13"/>
      <c r="C1472" s="13"/>
      <c r="D1472" s="13"/>
    </row>
    <row r="1473" spans="1:4" ht="12.75">
      <c r="A1473" s="15"/>
      <c r="B1473" s="13"/>
      <c r="C1473" s="13"/>
      <c r="D1473" s="13"/>
    </row>
    <row r="1474" spans="1:4" ht="12.75">
      <c r="A1474" s="15"/>
      <c r="B1474" s="13"/>
      <c r="C1474" s="13"/>
      <c r="D1474" s="13"/>
    </row>
    <row r="1475" spans="1:4" ht="12.75">
      <c r="A1475" s="15"/>
      <c r="B1475" s="13"/>
      <c r="C1475" s="13"/>
      <c r="D1475" s="13"/>
    </row>
    <row r="1476" spans="1:4" ht="12.75">
      <c r="A1476" s="15"/>
      <c r="B1476" s="13"/>
      <c r="C1476" s="13"/>
      <c r="D1476" s="13"/>
    </row>
    <row r="1477" spans="1:4" ht="12.75">
      <c r="A1477" s="15"/>
      <c r="B1477" s="13"/>
      <c r="C1477" s="13"/>
      <c r="D1477" s="13"/>
    </row>
    <row r="1478" spans="1:4" ht="12.75">
      <c r="A1478" s="15"/>
      <c r="B1478" s="13"/>
      <c r="C1478" s="13"/>
      <c r="D1478" s="13"/>
    </row>
    <row r="1479" spans="1:4" ht="12.75">
      <c r="A1479" s="15"/>
      <c r="B1479" s="13"/>
      <c r="C1479" s="13"/>
      <c r="D1479" s="13"/>
    </row>
    <row r="1480" spans="1:4" ht="12.75">
      <c r="A1480" s="15"/>
      <c r="B1480" s="13"/>
      <c r="C1480" s="13"/>
      <c r="D1480" s="13"/>
    </row>
    <row r="1481" spans="1:4" ht="12.75">
      <c r="A1481" s="15"/>
      <c r="B1481" s="13"/>
      <c r="C1481" s="13"/>
      <c r="D1481" s="13"/>
    </row>
    <row r="1482" spans="1:4" ht="12.75">
      <c r="A1482" s="15"/>
      <c r="B1482" s="13"/>
      <c r="C1482" s="13"/>
      <c r="D1482" s="13"/>
    </row>
    <row r="1483" spans="1:4" ht="12.75">
      <c r="A1483" s="15"/>
      <c r="B1483" s="13"/>
      <c r="C1483" s="13"/>
      <c r="D1483" s="13"/>
    </row>
    <row r="1484" spans="1:4" ht="12.75">
      <c r="A1484" s="15"/>
      <c r="B1484" s="13"/>
      <c r="C1484" s="13"/>
      <c r="D1484" s="13"/>
    </row>
    <row r="1485" spans="1:4" ht="12.75">
      <c r="A1485" s="15"/>
      <c r="B1485" s="13"/>
      <c r="C1485" s="13"/>
      <c r="D1485" s="13"/>
    </row>
    <row r="1486" spans="1:4" ht="12.75">
      <c r="A1486" s="15"/>
      <c r="B1486" s="13"/>
      <c r="C1486" s="13"/>
      <c r="D1486" s="13"/>
    </row>
    <row r="1487" spans="1:4" ht="12.75">
      <c r="A1487" s="15"/>
      <c r="B1487" s="13"/>
      <c r="C1487" s="13"/>
      <c r="D1487" s="13"/>
    </row>
    <row r="1488" spans="1:4" ht="12.75">
      <c r="A1488" s="15"/>
      <c r="B1488" s="13"/>
      <c r="C1488" s="13"/>
      <c r="D1488" s="13"/>
    </row>
    <row r="1489" spans="1:4" ht="12.75">
      <c r="A1489" s="15"/>
      <c r="B1489" s="13"/>
      <c r="C1489" s="13"/>
      <c r="D1489" s="13"/>
    </row>
    <row r="1490" spans="1:4" ht="12.75">
      <c r="A1490" s="15"/>
      <c r="B1490" s="13"/>
      <c r="C1490" s="13"/>
      <c r="D1490" s="13"/>
    </row>
    <row r="1491" spans="1:4" ht="12.75">
      <c r="A1491" s="15"/>
      <c r="B1491" s="13"/>
      <c r="C1491" s="13"/>
      <c r="D1491" s="13"/>
    </row>
    <row r="1492" spans="1:4" ht="12.75">
      <c r="A1492" s="15"/>
      <c r="B1492" s="13"/>
      <c r="C1492" s="13"/>
      <c r="D1492" s="13"/>
    </row>
    <row r="1493" spans="1:4" ht="12.75">
      <c r="A1493" s="15"/>
      <c r="B1493" s="13"/>
      <c r="C1493" s="13"/>
      <c r="D1493" s="13"/>
    </row>
    <row r="1494" spans="1:4" ht="12.75">
      <c r="A1494" s="15"/>
      <c r="B1494" s="13"/>
      <c r="C1494" s="13"/>
      <c r="D1494" s="13"/>
    </row>
    <row r="1495" spans="1:4" ht="12.75">
      <c r="A1495" s="15"/>
      <c r="B1495" s="13"/>
      <c r="C1495" s="13"/>
      <c r="D1495" s="13"/>
    </row>
    <row r="1496" spans="1:4" ht="12.75">
      <c r="A1496" s="15"/>
      <c r="B1496" s="13"/>
      <c r="C1496" s="13"/>
      <c r="D1496" s="13"/>
    </row>
    <row r="1497" spans="1:4" ht="12.75">
      <c r="A1497" s="15"/>
      <c r="B1497" s="13"/>
      <c r="C1497" s="13"/>
      <c r="D1497" s="13"/>
    </row>
    <row r="1498" spans="1:4" ht="12.75">
      <c r="A1498" s="15"/>
      <c r="B1498" s="13"/>
      <c r="C1498" s="13"/>
      <c r="D1498" s="13"/>
    </row>
    <row r="1499" spans="1:4" ht="12.75">
      <c r="A1499" s="15"/>
      <c r="B1499" s="13"/>
      <c r="C1499" s="13"/>
      <c r="D1499" s="13"/>
    </row>
    <row r="1500" spans="1:4" ht="12.75">
      <c r="A1500" s="15"/>
      <c r="B1500" s="13"/>
      <c r="C1500" s="13"/>
      <c r="D1500" s="13"/>
    </row>
    <row r="1501" spans="1:4" ht="12.75">
      <c r="A1501" s="15"/>
      <c r="B1501" s="13"/>
      <c r="C1501" s="13"/>
      <c r="D1501" s="13"/>
    </row>
    <row r="1502" spans="1:4" ht="12.75">
      <c r="A1502" s="15"/>
      <c r="B1502" s="13"/>
      <c r="C1502" s="13"/>
      <c r="D1502" s="13"/>
    </row>
    <row r="1503" spans="1:4" ht="12.75">
      <c r="A1503" s="15"/>
      <c r="B1503" s="13"/>
      <c r="C1503" s="13"/>
      <c r="D1503" s="13"/>
    </row>
    <row r="1504" spans="1:4" ht="12.75">
      <c r="A1504" s="15"/>
      <c r="B1504" s="13"/>
      <c r="C1504" s="13"/>
      <c r="D1504" s="13"/>
    </row>
    <row r="1505" spans="1:4" ht="12.75">
      <c r="A1505" s="15"/>
      <c r="B1505" s="13"/>
      <c r="C1505" s="13"/>
      <c r="D1505" s="13"/>
    </row>
    <row r="1506" spans="1:4" ht="12.75">
      <c r="A1506" s="15"/>
      <c r="B1506" s="13"/>
      <c r="C1506" s="13"/>
      <c r="D1506" s="13"/>
    </row>
    <row r="1507" spans="1:4" ht="12.75">
      <c r="A1507" s="15"/>
      <c r="B1507" s="13"/>
      <c r="C1507" s="13"/>
      <c r="D1507" s="13"/>
    </row>
    <row r="1508" spans="1:4" ht="12.75">
      <c r="A1508" s="15"/>
      <c r="B1508" s="13"/>
      <c r="C1508" s="13"/>
      <c r="D1508" s="13"/>
    </row>
    <row r="1509" spans="1:4" ht="12.75">
      <c r="A1509" s="15"/>
      <c r="B1509" s="13"/>
      <c r="C1509" s="13"/>
      <c r="D1509" s="13"/>
    </row>
    <row r="1510" spans="1:4" ht="12.75">
      <c r="A1510" s="15"/>
      <c r="B1510" s="13"/>
      <c r="C1510" s="13"/>
      <c r="D1510" s="13"/>
    </row>
    <row r="1511" spans="1:4" ht="12.75">
      <c r="A1511" s="15"/>
      <c r="B1511" s="13"/>
      <c r="C1511" s="13"/>
      <c r="D1511" s="13"/>
    </row>
    <row r="1512" spans="1:4" ht="12.75">
      <c r="A1512" s="15"/>
      <c r="B1512" s="13"/>
      <c r="C1512" s="13"/>
      <c r="D1512" s="13"/>
    </row>
    <row r="1513" spans="1:4" ht="12.75">
      <c r="A1513" s="15"/>
      <c r="B1513" s="13"/>
      <c r="C1513" s="13"/>
      <c r="D1513" s="13"/>
    </row>
    <row r="1514" spans="1:4" ht="12.75">
      <c r="A1514" s="15"/>
      <c r="B1514" s="13"/>
      <c r="C1514" s="13"/>
      <c r="D1514" s="13"/>
    </row>
    <row r="1515" spans="1:4" ht="12.75">
      <c r="A1515" s="15"/>
      <c r="B1515" s="13"/>
      <c r="C1515" s="13"/>
      <c r="D1515" s="13"/>
    </row>
    <row r="1516" spans="1:4" ht="12.75">
      <c r="A1516" s="15"/>
      <c r="B1516" s="13"/>
      <c r="C1516" s="13"/>
      <c r="D1516" s="13"/>
    </row>
    <row r="1517" spans="1:4" ht="12.75">
      <c r="A1517" s="15"/>
      <c r="B1517" s="13"/>
      <c r="C1517" s="13"/>
      <c r="D1517" s="13"/>
    </row>
    <row r="1518" spans="1:4" ht="12.75">
      <c r="A1518" s="15"/>
      <c r="B1518" s="13"/>
      <c r="C1518" s="13"/>
      <c r="D1518" s="13"/>
    </row>
    <row r="1519" spans="1:4" ht="12.75">
      <c r="A1519" s="15"/>
      <c r="B1519" s="13"/>
      <c r="C1519" s="13"/>
      <c r="D1519" s="13"/>
    </row>
    <row r="1520" spans="1:4" ht="12.75">
      <c r="A1520" s="15"/>
      <c r="B1520" s="13"/>
      <c r="C1520" s="13"/>
      <c r="D1520" s="13"/>
    </row>
    <row r="1521" spans="1:4" ht="12.75">
      <c r="A1521" s="15"/>
      <c r="B1521" s="13"/>
      <c r="C1521" s="13"/>
      <c r="D1521" s="13"/>
    </row>
    <row r="1522" spans="1:4" ht="12.75">
      <c r="A1522" s="15"/>
      <c r="B1522" s="13"/>
      <c r="C1522" s="13"/>
      <c r="D1522" s="13"/>
    </row>
    <row r="1523" spans="1:4" ht="12.75">
      <c r="A1523" s="15"/>
      <c r="B1523" s="13"/>
      <c r="C1523" s="13"/>
      <c r="D1523" s="13"/>
    </row>
    <row r="1524" spans="1:4" ht="12.75">
      <c r="A1524" s="15"/>
      <c r="B1524" s="13"/>
      <c r="C1524" s="13"/>
      <c r="D1524" s="13"/>
    </row>
    <row r="1525" spans="1:4" ht="12.75">
      <c r="A1525" s="15"/>
      <c r="B1525" s="13"/>
      <c r="C1525" s="13"/>
      <c r="D1525" s="13"/>
    </row>
    <row r="1526" spans="1:4" ht="12.75">
      <c r="A1526" s="15"/>
      <c r="B1526" s="13"/>
      <c r="C1526" s="13"/>
      <c r="D1526" s="13"/>
    </row>
    <row r="1527" spans="1:4" ht="12.75">
      <c r="A1527" s="15"/>
      <c r="B1527" s="13"/>
      <c r="C1527" s="13"/>
      <c r="D1527" s="13"/>
    </row>
    <row r="1528" spans="1:4" ht="12.75">
      <c r="A1528" s="15"/>
      <c r="B1528" s="13"/>
      <c r="C1528" s="13"/>
      <c r="D1528" s="13"/>
    </row>
    <row r="1529" spans="1:4" ht="12.75">
      <c r="A1529" s="15"/>
      <c r="B1529" s="13"/>
      <c r="C1529" s="13"/>
      <c r="D1529" s="13"/>
    </row>
    <row r="1530" spans="1:4" ht="12.75">
      <c r="A1530" s="15"/>
      <c r="B1530" s="13"/>
      <c r="C1530" s="13"/>
      <c r="D1530" s="13"/>
    </row>
    <row r="1531" spans="1:4" ht="12.75">
      <c r="A1531" s="15"/>
      <c r="B1531" s="13"/>
      <c r="C1531" s="13"/>
      <c r="D1531" s="13"/>
    </row>
    <row r="1532" spans="1:4" ht="12.75">
      <c r="A1532" s="15"/>
      <c r="B1532" s="13"/>
      <c r="C1532" s="13"/>
      <c r="D1532" s="13"/>
    </row>
    <row r="1533" spans="1:4" ht="12.75">
      <c r="A1533" s="15"/>
      <c r="B1533" s="13"/>
      <c r="C1533" s="13"/>
      <c r="D1533" s="13"/>
    </row>
    <row r="1534" spans="1:4" ht="12.75">
      <c r="A1534" s="15"/>
      <c r="B1534" s="13"/>
      <c r="C1534" s="13"/>
      <c r="D1534" s="13"/>
    </row>
    <row r="1535" spans="1:4" ht="12.75">
      <c r="A1535" s="15"/>
      <c r="B1535" s="13"/>
      <c r="C1535" s="13"/>
      <c r="D1535" s="13"/>
    </row>
    <row r="1536" spans="1:4" ht="12.75">
      <c r="A1536" s="15"/>
      <c r="B1536" s="13"/>
      <c r="C1536" s="13"/>
      <c r="D1536" s="13"/>
    </row>
    <row r="1537" spans="1:4" ht="12.75">
      <c r="A1537" s="15"/>
      <c r="B1537" s="13"/>
      <c r="C1537" s="13"/>
      <c r="D1537" s="13"/>
    </row>
    <row r="1538" spans="1:4" ht="12.75">
      <c r="A1538" s="15"/>
      <c r="B1538" s="13"/>
      <c r="C1538" s="13"/>
      <c r="D1538" s="13"/>
    </row>
    <row r="1539" spans="1:4" ht="12.75">
      <c r="A1539" s="15"/>
      <c r="B1539" s="13"/>
      <c r="C1539" s="13"/>
      <c r="D1539" s="13"/>
    </row>
    <row r="1540" spans="1:4" ht="12.75">
      <c r="A1540" s="15"/>
      <c r="B1540" s="13"/>
      <c r="C1540" s="13"/>
      <c r="D1540" s="13"/>
    </row>
    <row r="1541" spans="1:4" ht="12.75">
      <c r="A1541" s="15"/>
      <c r="B1541" s="13"/>
      <c r="C1541" s="13"/>
      <c r="D1541" s="13"/>
    </row>
    <row r="1542" spans="1:4" ht="12.75">
      <c r="A1542" s="15"/>
      <c r="B1542" s="13"/>
      <c r="C1542" s="13"/>
      <c r="D1542" s="13"/>
    </row>
    <row r="1543" spans="1:4" ht="12.75">
      <c r="A1543" s="15"/>
      <c r="B1543" s="13"/>
      <c r="C1543" s="13"/>
      <c r="D1543" s="13"/>
    </row>
    <row r="1544" spans="1:4" ht="12.75">
      <c r="A1544" s="15"/>
      <c r="B1544" s="13"/>
      <c r="C1544" s="13"/>
      <c r="D1544" s="13"/>
    </row>
    <row r="1545" spans="1:4" ht="12.75">
      <c r="A1545" s="15"/>
      <c r="B1545" s="13"/>
      <c r="C1545" s="13"/>
      <c r="D1545" s="13"/>
    </row>
    <row r="1546" spans="1:4" ht="12.75">
      <c r="A1546" s="15"/>
      <c r="B1546" s="13"/>
      <c r="C1546" s="13"/>
      <c r="D1546" s="13"/>
    </row>
    <row r="1547" spans="1:4" ht="12.75">
      <c r="A1547" s="15"/>
      <c r="B1547" s="13"/>
      <c r="C1547" s="13"/>
      <c r="D1547" s="13"/>
    </row>
    <row r="1548" spans="1:4" ht="12.75">
      <c r="A1548" s="15"/>
      <c r="B1548" s="13"/>
      <c r="C1548" s="13"/>
      <c r="D1548" s="13"/>
    </row>
    <row r="1549" spans="1:4" ht="12.75">
      <c r="A1549" s="15"/>
      <c r="B1549" s="13"/>
      <c r="C1549" s="13"/>
      <c r="D1549" s="13"/>
    </row>
    <row r="1550" spans="1:4" ht="12.75">
      <c r="A1550" s="15"/>
      <c r="B1550" s="13"/>
      <c r="C1550" s="13"/>
      <c r="D1550" s="13"/>
    </row>
    <row r="1551" spans="1:4" ht="12.75">
      <c r="A1551" s="15"/>
      <c r="B1551" s="13"/>
      <c r="C1551" s="13"/>
      <c r="D1551" s="13"/>
    </row>
    <row r="1552" spans="1:4" ht="12.75">
      <c r="A1552" s="15"/>
      <c r="B1552" s="13"/>
      <c r="C1552" s="13"/>
      <c r="D1552" s="13"/>
    </row>
    <row r="1553" spans="1:4" ht="12.75">
      <c r="A1553" s="15"/>
      <c r="B1553" s="13"/>
      <c r="C1553" s="13"/>
      <c r="D1553" s="13"/>
    </row>
    <row r="1554" spans="1:4" ht="12.75">
      <c r="A1554" s="15"/>
      <c r="B1554" s="13"/>
      <c r="C1554" s="13"/>
      <c r="D1554" s="13"/>
    </row>
    <row r="1555" spans="1:4" ht="12.75">
      <c r="A1555" s="15"/>
      <c r="B1555" s="13"/>
      <c r="C1555" s="13"/>
      <c r="D1555" s="13"/>
    </row>
    <row r="1556" spans="1:4" ht="12.75">
      <c r="A1556" s="15"/>
      <c r="B1556" s="13"/>
      <c r="C1556" s="13"/>
      <c r="D1556" s="13"/>
    </row>
    <row r="1557" spans="1:4" ht="12.75">
      <c r="A1557" s="15"/>
      <c r="B1557" s="13"/>
      <c r="C1557" s="13"/>
      <c r="D1557" s="13"/>
    </row>
    <row r="1558" spans="1:4" ht="12.75">
      <c r="A1558" s="15"/>
      <c r="B1558" s="13"/>
      <c r="C1558" s="13"/>
      <c r="D1558" s="13"/>
    </row>
    <row r="1559" spans="1:4" ht="12.75">
      <c r="A1559" s="15"/>
      <c r="B1559" s="13"/>
      <c r="C1559" s="13"/>
      <c r="D1559" s="13"/>
    </row>
    <row r="1560" spans="1:4" ht="12.75">
      <c r="A1560" s="15"/>
      <c r="B1560" s="13"/>
      <c r="C1560" s="13"/>
      <c r="D1560" s="13"/>
    </row>
    <row r="1561" spans="1:4" ht="12.75">
      <c r="A1561" s="15"/>
      <c r="B1561" s="13"/>
      <c r="C1561" s="13"/>
      <c r="D1561" s="13"/>
    </row>
    <row r="1562" spans="1:4" ht="12.75">
      <c r="A1562" s="15"/>
      <c r="B1562" s="13"/>
      <c r="C1562" s="13"/>
      <c r="D1562" s="13"/>
    </row>
    <row r="1563" spans="1:4" ht="12.75">
      <c r="A1563" s="15"/>
      <c r="B1563" s="13"/>
      <c r="C1563" s="13"/>
      <c r="D1563" s="13"/>
    </row>
    <row r="1564" spans="1:4" ht="12.75">
      <c r="A1564" s="15"/>
      <c r="B1564" s="13"/>
      <c r="C1564" s="13"/>
      <c r="D1564" s="13"/>
    </row>
    <row r="1565" spans="1:4" ht="12.75">
      <c r="A1565" s="15"/>
      <c r="B1565" s="13"/>
      <c r="C1565" s="13"/>
      <c r="D1565" s="13"/>
    </row>
    <row r="1566" spans="1:4" ht="12.75">
      <c r="A1566" s="15"/>
      <c r="B1566" s="13"/>
      <c r="C1566" s="13"/>
      <c r="D1566" s="13"/>
    </row>
    <row r="1567" spans="1:4" ht="12.75">
      <c r="A1567" s="15"/>
      <c r="B1567" s="13"/>
      <c r="C1567" s="13"/>
      <c r="D1567" s="13"/>
    </row>
    <row r="1568" spans="1:4" ht="12.75">
      <c r="A1568" s="15"/>
      <c r="B1568" s="13"/>
      <c r="C1568" s="13"/>
      <c r="D1568" s="13"/>
    </row>
    <row r="1569" spans="1:4" ht="12.75">
      <c r="A1569" s="15"/>
      <c r="B1569" s="13"/>
      <c r="C1569" s="13"/>
      <c r="D1569" s="13"/>
    </row>
    <row r="1570" spans="1:4" ht="12.75">
      <c r="A1570" s="15"/>
      <c r="B1570" s="13"/>
      <c r="C1570" s="13"/>
      <c r="D1570" s="13"/>
    </row>
    <row r="1571" spans="1:4" ht="12.75">
      <c r="A1571" s="15"/>
      <c r="B1571" s="13"/>
      <c r="C1571" s="13"/>
      <c r="D1571" s="13"/>
    </row>
    <row r="1572" spans="1:4" ht="12.75">
      <c r="A1572" s="15"/>
      <c r="B1572" s="13"/>
      <c r="C1572" s="13"/>
      <c r="D1572" s="13"/>
    </row>
    <row r="1573" spans="1:4" ht="12.75">
      <c r="A1573" s="15"/>
      <c r="B1573" s="13"/>
      <c r="C1573" s="13"/>
      <c r="D1573" s="13"/>
    </row>
    <row r="1574" spans="1:4" ht="12.75">
      <c r="A1574" s="15"/>
      <c r="B1574" s="13"/>
      <c r="C1574" s="13"/>
      <c r="D1574" s="13"/>
    </row>
    <row r="1575" spans="1:4" ht="12.75">
      <c r="A1575" s="15"/>
      <c r="B1575" s="13"/>
      <c r="C1575" s="13"/>
      <c r="D1575" s="13"/>
    </row>
    <row r="1576" spans="1:4" ht="12.75">
      <c r="A1576" s="15"/>
      <c r="B1576" s="13"/>
      <c r="C1576" s="13"/>
      <c r="D1576" s="13"/>
    </row>
    <row r="1577" spans="1:4" ht="12.75">
      <c r="A1577" s="15"/>
      <c r="B1577" s="13"/>
      <c r="C1577" s="13"/>
      <c r="D1577" s="13"/>
    </row>
    <row r="1578" spans="1:4" ht="12.75">
      <c r="A1578" s="15"/>
      <c r="B1578" s="13"/>
      <c r="C1578" s="13"/>
      <c r="D1578" s="13"/>
    </row>
    <row r="1579" spans="1:4" ht="12.75">
      <c r="A1579" s="15"/>
      <c r="B1579" s="13"/>
      <c r="C1579" s="13"/>
      <c r="D1579" s="13"/>
    </row>
    <row r="1580" spans="1:4" ht="12.75">
      <c r="A1580" s="15"/>
      <c r="B1580" s="13"/>
      <c r="C1580" s="13"/>
      <c r="D1580" s="13"/>
    </row>
    <row r="1581" spans="1:4" ht="12.75">
      <c r="A1581" s="15"/>
      <c r="B1581" s="13"/>
      <c r="C1581" s="13"/>
      <c r="D1581" s="13"/>
    </row>
    <row r="1582" spans="1:4" ht="12.75">
      <c r="A1582" s="15"/>
      <c r="B1582" s="13"/>
      <c r="C1582" s="13"/>
      <c r="D1582" s="13"/>
    </row>
    <row r="1583" spans="1:4" ht="12.75">
      <c r="A1583" s="15"/>
      <c r="B1583" s="13"/>
      <c r="C1583" s="13"/>
      <c r="D1583" s="13"/>
    </row>
    <row r="1584" spans="1:4" ht="12.75">
      <c r="A1584" s="15"/>
      <c r="B1584" s="13"/>
      <c r="C1584" s="13"/>
      <c r="D1584" s="13"/>
    </row>
    <row r="1585" spans="1:4" ht="12.75">
      <c r="A1585" s="15"/>
      <c r="B1585" s="13"/>
      <c r="C1585" s="13"/>
      <c r="D1585" s="13"/>
    </row>
    <row r="1586" spans="1:4" ht="12.75">
      <c r="A1586" s="15"/>
      <c r="B1586" s="13"/>
      <c r="C1586" s="13"/>
      <c r="D1586" s="13"/>
    </row>
    <row r="1587" spans="1:4" ht="12.75">
      <c r="A1587" s="15"/>
      <c r="B1587" s="13"/>
      <c r="C1587" s="13"/>
      <c r="D1587" s="13"/>
    </row>
    <row r="1588" spans="1:4" ht="12.75">
      <c r="A1588" s="15"/>
      <c r="B1588" s="13"/>
      <c r="C1588" s="13"/>
      <c r="D1588" s="13"/>
    </row>
    <row r="1589" spans="1:4" ht="12.75">
      <c r="A1589" s="15"/>
      <c r="B1589" s="13"/>
      <c r="C1589" s="13"/>
      <c r="D1589" s="13"/>
    </row>
    <row r="1590" spans="1:4" ht="12.75">
      <c r="A1590" s="15"/>
      <c r="B1590" s="13"/>
      <c r="C1590" s="13"/>
      <c r="D1590" s="13"/>
    </row>
    <row r="1591" spans="1:4" ht="12.75">
      <c r="A1591" s="15"/>
      <c r="B1591" s="13"/>
      <c r="C1591" s="13"/>
      <c r="D1591" s="13"/>
    </row>
    <row r="1592" spans="1:4" ht="12.75">
      <c r="A1592" s="15"/>
      <c r="B1592" s="13"/>
      <c r="C1592" s="13"/>
      <c r="D1592" s="13"/>
    </row>
    <row r="1593" spans="1:4" ht="12.75">
      <c r="A1593" s="15"/>
      <c r="B1593" s="13"/>
      <c r="C1593" s="13"/>
      <c r="D1593" s="13"/>
    </row>
    <row r="1594" spans="1:4" ht="12.75">
      <c r="A1594" s="15"/>
      <c r="B1594" s="13"/>
      <c r="C1594" s="13"/>
      <c r="D1594" s="13"/>
    </row>
    <row r="1595" spans="1:4" ht="12.75">
      <c r="A1595" s="15"/>
      <c r="B1595" s="13"/>
      <c r="C1595" s="13"/>
      <c r="D1595" s="13"/>
    </row>
    <row r="1596" spans="1:4" ht="12.75">
      <c r="A1596" s="15"/>
      <c r="B1596" s="13"/>
      <c r="C1596" s="13"/>
      <c r="D1596" s="13"/>
    </row>
    <row r="1597" spans="1:4" ht="12.75">
      <c r="A1597" s="15"/>
      <c r="B1597" s="13"/>
      <c r="C1597" s="13"/>
      <c r="D1597" s="13"/>
    </row>
    <row r="1598" spans="1:4" ht="12.75">
      <c r="A1598" s="15"/>
      <c r="B1598" s="13"/>
      <c r="C1598" s="13"/>
      <c r="D1598" s="13"/>
    </row>
    <row r="1599" spans="1:4" ht="12.75">
      <c r="A1599" s="15"/>
      <c r="B1599" s="13"/>
      <c r="C1599" s="13"/>
      <c r="D1599" s="13"/>
    </row>
    <row r="1600" spans="1:4" ht="12.75">
      <c r="A1600" s="15"/>
      <c r="B1600" s="13"/>
      <c r="C1600" s="13"/>
      <c r="D1600" s="13"/>
    </row>
    <row r="1601" spans="1:4" ht="12.75">
      <c r="A1601" s="15"/>
      <c r="B1601" s="13"/>
      <c r="C1601" s="13"/>
      <c r="D1601" s="13"/>
    </row>
    <row r="1602" spans="1:4" ht="12.75">
      <c r="A1602" s="15"/>
      <c r="B1602" s="13"/>
      <c r="C1602" s="13"/>
      <c r="D1602" s="13"/>
    </row>
    <row r="1603" spans="1:4" ht="12.75">
      <c r="A1603" s="15"/>
      <c r="B1603" s="13"/>
      <c r="C1603" s="13"/>
      <c r="D1603" s="13"/>
    </row>
    <row r="1604" spans="1:4" ht="12.75">
      <c r="A1604" s="15"/>
      <c r="B1604" s="13"/>
      <c r="C1604" s="13"/>
      <c r="D1604" s="13"/>
    </row>
    <row r="1605" spans="1:4" ht="12.75">
      <c r="A1605" s="15"/>
      <c r="B1605" s="13"/>
      <c r="C1605" s="13"/>
      <c r="D1605" s="13"/>
    </row>
    <row r="1606" spans="1:4" ht="12.75">
      <c r="A1606" s="15"/>
      <c r="B1606" s="13"/>
      <c r="C1606" s="13"/>
      <c r="D1606" s="13"/>
    </row>
    <row r="1607" spans="1:4" ht="12.75">
      <c r="A1607" s="15"/>
      <c r="B1607" s="13"/>
      <c r="C1607" s="13"/>
      <c r="D1607" s="13"/>
    </row>
    <row r="1608" spans="1:4" ht="12.75">
      <c r="A1608" s="15"/>
      <c r="B1608" s="13"/>
      <c r="C1608" s="13"/>
      <c r="D1608" s="13"/>
    </row>
    <row r="1609" spans="1:4" ht="12.75">
      <c r="A1609" s="15"/>
      <c r="B1609" s="13"/>
      <c r="C1609" s="13"/>
      <c r="D1609" s="13"/>
    </row>
    <row r="1610" spans="1:4" ht="12.75">
      <c r="A1610" s="15"/>
      <c r="B1610" s="13"/>
      <c r="C1610" s="13"/>
      <c r="D1610" s="13"/>
    </row>
    <row r="1611" spans="1:4" ht="12.75">
      <c r="A1611" s="15"/>
      <c r="B1611" s="13"/>
      <c r="C1611" s="13"/>
      <c r="D1611" s="13"/>
    </row>
    <row r="1612" spans="1:4" ht="12.75">
      <c r="A1612" s="15"/>
      <c r="B1612" s="13"/>
      <c r="C1612" s="13"/>
      <c r="D1612" s="13"/>
    </row>
    <row r="1613" spans="1:4" ht="12.75">
      <c r="A1613" s="15"/>
      <c r="B1613" s="13"/>
      <c r="C1613" s="13"/>
      <c r="D1613" s="13"/>
    </row>
    <row r="1614" spans="1:4" ht="12.75">
      <c r="A1614" s="15"/>
      <c r="B1614" s="13"/>
      <c r="C1614" s="13"/>
      <c r="D1614" s="13"/>
    </row>
    <row r="1615" spans="1:4" ht="12.75">
      <c r="A1615" s="15"/>
      <c r="B1615" s="13"/>
      <c r="C1615" s="13"/>
      <c r="D1615" s="13"/>
    </row>
    <row r="1616" spans="1:4" ht="12.75">
      <c r="A1616" s="15"/>
      <c r="B1616" s="13"/>
      <c r="C1616" s="13"/>
      <c r="D1616" s="13"/>
    </row>
    <row r="1617" spans="1:4" ht="12.75">
      <c r="A1617" s="15"/>
      <c r="B1617" s="13"/>
      <c r="C1617" s="13"/>
      <c r="D1617" s="13"/>
    </row>
    <row r="1618" spans="1:4" ht="12.75">
      <c r="A1618" s="15"/>
      <c r="B1618" s="13"/>
      <c r="C1618" s="13"/>
      <c r="D1618" s="13"/>
    </row>
    <row r="1619" spans="1:4" ht="12.75">
      <c r="A1619" s="15"/>
      <c r="B1619" s="13"/>
      <c r="C1619" s="13"/>
      <c r="D1619" s="13"/>
    </row>
    <row r="1620" spans="1:4" ht="12.75">
      <c r="A1620" s="15"/>
      <c r="B1620" s="13"/>
      <c r="C1620" s="13"/>
      <c r="D1620" s="13"/>
    </row>
    <row r="1621" spans="1:4" ht="12.75">
      <c r="A1621" s="15"/>
      <c r="B1621" s="13"/>
      <c r="C1621" s="13"/>
      <c r="D1621" s="13"/>
    </row>
    <row r="1622" spans="1:4" ht="12.75">
      <c r="A1622" s="15"/>
      <c r="B1622" s="13"/>
      <c r="C1622" s="13"/>
      <c r="D1622" s="13"/>
    </row>
    <row r="1623" spans="1:4" ht="12.75">
      <c r="A1623" s="15"/>
      <c r="B1623" s="13"/>
      <c r="C1623" s="13"/>
      <c r="D1623" s="13"/>
    </row>
    <row r="1624" spans="1:4" ht="12.75">
      <c r="A1624" s="15"/>
      <c r="B1624" s="13"/>
      <c r="C1624" s="13"/>
      <c r="D1624" s="13"/>
    </row>
    <row r="1625" spans="1:4" ht="12.75">
      <c r="A1625" s="15"/>
      <c r="B1625" s="13"/>
      <c r="C1625" s="13"/>
      <c r="D1625" s="13"/>
    </row>
    <row r="1626" spans="1:4" ht="12.75">
      <c r="A1626" s="15"/>
      <c r="B1626" s="13"/>
      <c r="C1626" s="13"/>
      <c r="D1626" s="13"/>
    </row>
    <row r="1627" spans="1:4" ht="12.75">
      <c r="A1627" s="15"/>
      <c r="B1627" s="13"/>
      <c r="C1627" s="13"/>
      <c r="D1627" s="13"/>
    </row>
    <row r="1628" spans="1:4" ht="12.75">
      <c r="A1628" s="15"/>
      <c r="B1628" s="13"/>
      <c r="C1628" s="13"/>
      <c r="D1628" s="13"/>
    </row>
    <row r="1629" spans="1:4" ht="12.75">
      <c r="A1629" s="15"/>
      <c r="B1629" s="13"/>
      <c r="C1629" s="13"/>
      <c r="D1629" s="13"/>
    </row>
    <row r="1630" spans="1:4" ht="12.75">
      <c r="A1630" s="15"/>
      <c r="B1630" s="13"/>
      <c r="C1630" s="13"/>
      <c r="D1630" s="13"/>
    </row>
    <row r="1631" spans="1:4" ht="12.75">
      <c r="A1631" s="15"/>
      <c r="B1631" s="13"/>
      <c r="C1631" s="13"/>
      <c r="D1631" s="13"/>
    </row>
    <row r="1632" spans="1:4" ht="12.75">
      <c r="A1632" s="15"/>
      <c r="B1632" s="13"/>
      <c r="C1632" s="13"/>
      <c r="D1632" s="13"/>
    </row>
    <row r="1633" spans="1:4" ht="12.75">
      <c r="A1633" s="15"/>
      <c r="B1633" s="13"/>
      <c r="C1633" s="13"/>
      <c r="D1633" s="13"/>
    </row>
    <row r="1634" spans="1:4" ht="12.75">
      <c r="A1634" s="15"/>
      <c r="B1634" s="13"/>
      <c r="C1634" s="13"/>
      <c r="D1634" s="13"/>
    </row>
    <row r="1635" spans="1:4" ht="12.75">
      <c r="A1635" s="15"/>
      <c r="B1635" s="13"/>
      <c r="C1635" s="13"/>
      <c r="D1635" s="13"/>
    </row>
    <row r="1636" spans="1:4" ht="12.75">
      <c r="A1636" s="15"/>
      <c r="B1636" s="13"/>
      <c r="C1636" s="13"/>
      <c r="D1636" s="13"/>
    </row>
    <row r="1637" spans="1:4" ht="12.75">
      <c r="A1637" s="15"/>
      <c r="B1637" s="13"/>
      <c r="C1637" s="13"/>
      <c r="D1637" s="13"/>
    </row>
    <row r="1638" spans="1:4" ht="12.75">
      <c r="A1638" s="15"/>
      <c r="B1638" s="13"/>
      <c r="C1638" s="13"/>
      <c r="D1638" s="13"/>
    </row>
    <row r="1639" spans="1:4" ht="12.75">
      <c r="A1639" s="15"/>
      <c r="B1639" s="13"/>
      <c r="C1639" s="13"/>
      <c r="D1639" s="13"/>
    </row>
    <row r="1640" spans="1:4" ht="12.75">
      <c r="A1640" s="15"/>
      <c r="B1640" s="13"/>
      <c r="C1640" s="13"/>
      <c r="D1640" s="13"/>
    </row>
    <row r="1641" spans="1:4" ht="12.75">
      <c r="A1641" s="15"/>
      <c r="B1641" s="13"/>
      <c r="C1641" s="13"/>
      <c r="D1641" s="13"/>
    </row>
    <row r="1642" spans="1:4" ht="12.75">
      <c r="A1642" s="15"/>
      <c r="B1642" s="13"/>
      <c r="C1642" s="13"/>
      <c r="D1642" s="13"/>
    </row>
    <row r="1643" spans="1:4" ht="12.75">
      <c r="A1643" s="15"/>
      <c r="B1643" s="13"/>
      <c r="C1643" s="13"/>
      <c r="D1643" s="13"/>
    </row>
    <row r="1644" spans="1:4" ht="12.75">
      <c r="A1644" s="15"/>
      <c r="B1644" s="13"/>
      <c r="C1644" s="13"/>
      <c r="D1644" s="13"/>
    </row>
    <row r="1645" spans="1:4" ht="12.75">
      <c r="A1645" s="15"/>
      <c r="B1645" s="13"/>
      <c r="C1645" s="13"/>
      <c r="D1645" s="13"/>
    </row>
    <row r="1646" spans="1:4" ht="12.75">
      <c r="A1646" s="15"/>
      <c r="B1646" s="13"/>
      <c r="C1646" s="13"/>
      <c r="D1646" s="13"/>
    </row>
    <row r="1647" spans="1:4" ht="12.75">
      <c r="A1647" s="15"/>
      <c r="B1647" s="13"/>
      <c r="C1647" s="13"/>
      <c r="D1647" s="13"/>
    </row>
    <row r="1648" spans="1:4" ht="12.75">
      <c r="A1648" s="15"/>
      <c r="B1648" s="13"/>
      <c r="C1648" s="13"/>
      <c r="D1648" s="13"/>
    </row>
    <row r="1649" spans="1:4" ht="12.75">
      <c r="A1649" s="15"/>
      <c r="B1649" s="13"/>
      <c r="C1649" s="13"/>
      <c r="D1649" s="13"/>
    </row>
    <row r="1650" spans="1:4" ht="12.75">
      <c r="A1650" s="15"/>
      <c r="B1650" s="13"/>
      <c r="C1650" s="13"/>
      <c r="D1650" s="13"/>
    </row>
    <row r="1651" spans="1:4" ht="12.75">
      <c r="A1651" s="15"/>
      <c r="B1651" s="13"/>
      <c r="C1651" s="13"/>
      <c r="D1651" s="13"/>
    </row>
    <row r="1652" spans="1:4" ht="12.75">
      <c r="A1652" s="15"/>
      <c r="B1652" s="13"/>
      <c r="C1652" s="13"/>
      <c r="D1652" s="13"/>
    </row>
    <row r="1653" spans="1:4" ht="12.75">
      <c r="A1653" s="15"/>
      <c r="B1653" s="13"/>
      <c r="C1653" s="13"/>
      <c r="D1653" s="13"/>
    </row>
    <row r="1654" spans="1:4" ht="12.75">
      <c r="A1654" s="15"/>
      <c r="B1654" s="13"/>
      <c r="C1654" s="13"/>
      <c r="D1654" s="13"/>
    </row>
    <row r="1655" spans="1:4" ht="12.75">
      <c r="A1655" s="15"/>
      <c r="B1655" s="13"/>
      <c r="C1655" s="13"/>
      <c r="D1655" s="13"/>
    </row>
    <row r="1656" spans="1:4" ht="12.75">
      <c r="A1656" s="15"/>
      <c r="B1656" s="13"/>
      <c r="C1656" s="13"/>
      <c r="D1656" s="13"/>
    </row>
    <row r="1657" spans="1:4" ht="12.75">
      <c r="A1657" s="15"/>
      <c r="B1657" s="13"/>
      <c r="C1657" s="13"/>
      <c r="D1657" s="13"/>
    </row>
    <row r="1658" spans="1:4" ht="12.75">
      <c r="A1658" s="15"/>
      <c r="B1658" s="13"/>
      <c r="C1658" s="13"/>
      <c r="D1658" s="13"/>
    </row>
    <row r="1659" spans="1:4" ht="12.75">
      <c r="A1659" s="15"/>
      <c r="B1659" s="13"/>
      <c r="C1659" s="13"/>
      <c r="D1659" s="13"/>
    </row>
    <row r="1660" spans="1:4" ht="12.75">
      <c r="A1660" s="15"/>
      <c r="B1660" s="13"/>
      <c r="C1660" s="13"/>
      <c r="D1660" s="13"/>
    </row>
    <row r="1661" spans="1:4" ht="12.75">
      <c r="A1661" s="15"/>
      <c r="B1661" s="13"/>
      <c r="C1661" s="13"/>
      <c r="D1661" s="13"/>
    </row>
    <row r="1662" spans="1:4" ht="12.75">
      <c r="A1662" s="15"/>
      <c r="B1662" s="13"/>
      <c r="C1662" s="13"/>
      <c r="D1662" s="13"/>
    </row>
    <row r="1663" spans="1:4" ht="12.75">
      <c r="A1663" s="15"/>
      <c r="B1663" s="13"/>
      <c r="C1663" s="13"/>
      <c r="D1663" s="13"/>
    </row>
    <row r="1664" spans="1:4" ht="12.75">
      <c r="A1664" s="15"/>
      <c r="B1664" s="13"/>
      <c r="C1664" s="13"/>
      <c r="D1664" s="13"/>
    </row>
    <row r="1665" spans="1:4" ht="12.75">
      <c r="A1665" s="15"/>
      <c r="B1665" s="13"/>
      <c r="C1665" s="13"/>
      <c r="D1665" s="13"/>
    </row>
    <row r="1666" spans="1:4" ht="12.75">
      <c r="A1666" s="15"/>
      <c r="B1666" s="13"/>
      <c r="C1666" s="13"/>
      <c r="D1666" s="13"/>
    </row>
    <row r="1667" spans="1:4" ht="12.75">
      <c r="A1667" s="15"/>
      <c r="B1667" s="13"/>
      <c r="C1667" s="13"/>
      <c r="D1667" s="13"/>
    </row>
    <row r="1668" spans="1:4" ht="12.75">
      <c r="A1668" s="15"/>
      <c r="B1668" s="13"/>
      <c r="C1668" s="13"/>
      <c r="D1668" s="13"/>
    </row>
    <row r="1669" spans="1:4" ht="12.75">
      <c r="A1669" s="15"/>
      <c r="B1669" s="13"/>
      <c r="C1669" s="13"/>
      <c r="D1669" s="13"/>
    </row>
    <row r="1670" spans="1:4" ht="12.75">
      <c r="A1670" s="15"/>
      <c r="B1670" s="13"/>
      <c r="C1670" s="13"/>
      <c r="D1670" s="13"/>
    </row>
    <row r="1671" spans="1:4" ht="12.75">
      <c r="A1671" s="15"/>
      <c r="B1671" s="13"/>
      <c r="C1671" s="13"/>
      <c r="D1671" s="13"/>
    </row>
    <row r="1672" spans="1:4" ht="12.75">
      <c r="A1672" s="15"/>
      <c r="B1672" s="13"/>
      <c r="C1672" s="13"/>
      <c r="D1672" s="13"/>
    </row>
    <row r="1673" spans="1:4" ht="12.75">
      <c r="A1673" s="15"/>
      <c r="B1673" s="13"/>
      <c r="C1673" s="13"/>
      <c r="D1673" s="13"/>
    </row>
    <row r="1674" spans="1:4" ht="12.75">
      <c r="A1674" s="15"/>
      <c r="B1674" s="13"/>
      <c r="C1674" s="13"/>
      <c r="D1674" s="13"/>
    </row>
    <row r="1675" spans="1:4" ht="12.75">
      <c r="A1675" s="15"/>
      <c r="B1675" s="13"/>
      <c r="C1675" s="13"/>
      <c r="D1675" s="13"/>
    </row>
    <row r="1676" spans="1:4" ht="12.75">
      <c r="A1676" s="15"/>
      <c r="B1676" s="13"/>
      <c r="C1676" s="13"/>
      <c r="D1676" s="13"/>
    </row>
    <row r="1677" spans="1:4" ht="12.75">
      <c r="A1677" s="15"/>
      <c r="B1677" s="13"/>
      <c r="C1677" s="13"/>
      <c r="D1677" s="13"/>
    </row>
    <row r="1678" spans="1:4" ht="12.75">
      <c r="A1678" s="15"/>
      <c r="B1678" s="13"/>
      <c r="C1678" s="13"/>
      <c r="D1678" s="13"/>
    </row>
    <row r="1679" spans="1:4" ht="12.75">
      <c r="A1679" s="15"/>
      <c r="B1679" s="13"/>
      <c r="C1679" s="13"/>
      <c r="D1679" s="13"/>
    </row>
    <row r="1680" spans="1:4" ht="12.75">
      <c r="A1680" s="15"/>
      <c r="B1680" s="13"/>
      <c r="C1680" s="13"/>
      <c r="D1680" s="13"/>
    </row>
    <row r="1681" spans="1:4" ht="12.75">
      <c r="A1681" s="15"/>
      <c r="B1681" s="13"/>
      <c r="C1681" s="13"/>
      <c r="D1681" s="13"/>
    </row>
    <row r="1682" spans="1:4" ht="12.75">
      <c r="A1682" s="15"/>
      <c r="B1682" s="13"/>
      <c r="C1682" s="13"/>
      <c r="D1682" s="13"/>
    </row>
    <row r="1683" spans="1:4" ht="12.75">
      <c r="A1683" s="15"/>
      <c r="B1683" s="13"/>
      <c r="C1683" s="13"/>
      <c r="D1683" s="13"/>
    </row>
    <row r="1684" spans="1:4" ht="12.75">
      <c r="A1684" s="15"/>
      <c r="B1684" s="13"/>
      <c r="C1684" s="13"/>
      <c r="D1684" s="13"/>
    </row>
    <row r="1685" spans="1:4" ht="12.75">
      <c r="A1685" s="15"/>
      <c r="B1685" s="13"/>
      <c r="C1685" s="13"/>
      <c r="D1685" s="13"/>
    </row>
    <row r="1686" spans="1:4" ht="12.75">
      <c r="A1686" s="15"/>
      <c r="B1686" s="13"/>
      <c r="C1686" s="13"/>
      <c r="D1686" s="13"/>
    </row>
    <row r="1687" spans="1:4" ht="12.75">
      <c r="A1687" s="15"/>
      <c r="B1687" s="13"/>
      <c r="C1687" s="13"/>
      <c r="D1687" s="13"/>
    </row>
    <row r="1688" spans="1:4" ht="12.75">
      <c r="A1688" s="15"/>
      <c r="B1688" s="13"/>
      <c r="C1688" s="13"/>
      <c r="D1688" s="13"/>
    </row>
    <row r="1689" spans="1:4" ht="12.75">
      <c r="A1689" s="15"/>
      <c r="B1689" s="13"/>
      <c r="C1689" s="13"/>
      <c r="D1689" s="13"/>
    </row>
    <row r="1690" spans="1:4" ht="12.75">
      <c r="A1690" s="15"/>
      <c r="B1690" s="13"/>
      <c r="C1690" s="13"/>
      <c r="D1690" s="13"/>
    </row>
    <row r="1691" spans="1:4" ht="12.75">
      <c r="A1691" s="15"/>
      <c r="B1691" s="13"/>
      <c r="C1691" s="13"/>
      <c r="D1691" s="13"/>
    </row>
    <row r="1692" spans="1:4" ht="12.75">
      <c r="A1692" s="15"/>
      <c r="B1692" s="13"/>
      <c r="C1692" s="13"/>
      <c r="D1692" s="13"/>
    </row>
    <row r="1693" spans="1:4" ht="12.75">
      <c r="A1693" s="15"/>
      <c r="B1693" s="13"/>
      <c r="C1693" s="13"/>
      <c r="D1693" s="13"/>
    </row>
    <row r="1694" spans="1:4" ht="12.75">
      <c r="A1694" s="15"/>
      <c r="B1694" s="13"/>
      <c r="C1694" s="13"/>
      <c r="D1694" s="13"/>
    </row>
    <row r="1695" spans="1:4" ht="12.75">
      <c r="A1695" s="15"/>
      <c r="B1695" s="13"/>
      <c r="C1695" s="13"/>
      <c r="D1695" s="13"/>
    </row>
    <row r="1696" spans="1:4" ht="12.75">
      <c r="A1696" s="15"/>
      <c r="B1696" s="13"/>
      <c r="C1696" s="13"/>
      <c r="D1696" s="13"/>
    </row>
    <row r="1697" spans="1:4" ht="12.75">
      <c r="A1697" s="15"/>
      <c r="B1697" s="13"/>
      <c r="C1697" s="13"/>
      <c r="D1697" s="13"/>
    </row>
    <row r="1698" spans="1:4" ht="12.75">
      <c r="A1698" s="15"/>
      <c r="B1698" s="13"/>
      <c r="C1698" s="13"/>
      <c r="D1698" s="13"/>
    </row>
    <row r="1699" spans="1:4" ht="12.75">
      <c r="A1699" s="15"/>
      <c r="B1699" s="13"/>
      <c r="C1699" s="13"/>
      <c r="D1699" s="13"/>
    </row>
    <row r="1700" spans="1:4" ht="12.75">
      <c r="A1700" s="15"/>
      <c r="B1700" s="13"/>
      <c r="C1700" s="13"/>
      <c r="D1700" s="13"/>
    </row>
    <row r="1701" spans="1:4" ht="12.75">
      <c r="A1701" s="15"/>
      <c r="B1701" s="13"/>
      <c r="C1701" s="13"/>
      <c r="D1701" s="13"/>
    </row>
    <row r="1702" spans="1:4" ht="12.75">
      <c r="A1702" s="15"/>
      <c r="B1702" s="13"/>
      <c r="C1702" s="13"/>
      <c r="D1702" s="13"/>
    </row>
    <row r="1703" spans="1:4" ht="12.75">
      <c r="A1703" s="15"/>
      <c r="B1703" s="13"/>
      <c r="C1703" s="13"/>
      <c r="D1703" s="13"/>
    </row>
    <row r="1704" spans="1:4" ht="12.75">
      <c r="A1704" s="15"/>
      <c r="B1704" s="13"/>
      <c r="C1704" s="13"/>
      <c r="D1704" s="13"/>
    </row>
    <row r="1705" spans="1:4" ht="12.75">
      <c r="A1705" s="15"/>
      <c r="B1705" s="13"/>
      <c r="C1705" s="13"/>
      <c r="D1705" s="13"/>
    </row>
    <row r="1706" spans="1:4" ht="12.75">
      <c r="A1706" s="15"/>
      <c r="B1706" s="13"/>
      <c r="C1706" s="13"/>
      <c r="D1706" s="13"/>
    </row>
    <row r="1707" spans="1:4" ht="12.75">
      <c r="A1707" s="15"/>
      <c r="B1707" s="13"/>
      <c r="C1707" s="13"/>
      <c r="D1707" s="13"/>
    </row>
    <row r="1708" spans="1:4" ht="12.75">
      <c r="A1708" s="15"/>
      <c r="B1708" s="13"/>
      <c r="C1708" s="13"/>
      <c r="D1708" s="13"/>
    </row>
    <row r="1709" spans="1:4" ht="12.75">
      <c r="A1709" s="15"/>
      <c r="B1709" s="13"/>
      <c r="C1709" s="13"/>
      <c r="D1709" s="13"/>
    </row>
    <row r="1710" spans="1:4" ht="12.75">
      <c r="A1710" s="15"/>
      <c r="B1710" s="13"/>
      <c r="C1710" s="13"/>
      <c r="D1710" s="13"/>
    </row>
    <row r="1711" spans="1:4" ht="12.75">
      <c r="A1711" s="15"/>
      <c r="B1711" s="13"/>
      <c r="C1711" s="13"/>
      <c r="D1711" s="13"/>
    </row>
    <row r="1712" spans="1:4" ht="12.75">
      <c r="A1712" s="15"/>
      <c r="B1712" s="13"/>
      <c r="C1712" s="13"/>
      <c r="D1712" s="13"/>
    </row>
    <row r="1713" spans="1:4" ht="12.75">
      <c r="A1713" s="15"/>
      <c r="B1713" s="13"/>
      <c r="C1713" s="13"/>
      <c r="D1713" s="13"/>
    </row>
    <row r="1714" spans="1:4" ht="12.75">
      <c r="A1714" s="15"/>
      <c r="B1714" s="13"/>
      <c r="C1714" s="13"/>
      <c r="D1714" s="13"/>
    </row>
    <row r="1715" spans="1:4" ht="12.75">
      <c r="A1715" s="15"/>
      <c r="B1715" s="13"/>
      <c r="C1715" s="13"/>
      <c r="D1715" s="13"/>
    </row>
    <row r="1716" spans="1:4" ht="12.75">
      <c r="A1716" s="15"/>
      <c r="B1716" s="13"/>
      <c r="C1716" s="13"/>
      <c r="D1716" s="13"/>
    </row>
    <row r="1717" spans="1:4" ht="12.75">
      <c r="A1717" s="15"/>
      <c r="B1717" s="13"/>
      <c r="C1717" s="13"/>
      <c r="D1717" s="13"/>
    </row>
    <row r="1718" spans="1:4" ht="12.75">
      <c r="A1718" s="15"/>
      <c r="B1718" s="13"/>
      <c r="C1718" s="13"/>
      <c r="D1718" s="13"/>
    </row>
    <row r="1719" spans="1:4" ht="12.75">
      <c r="A1719" s="15"/>
      <c r="B1719" s="13"/>
      <c r="C1719" s="13"/>
      <c r="D1719" s="13"/>
    </row>
    <row r="1720" spans="1:4" ht="12.75">
      <c r="A1720" s="15"/>
      <c r="B1720" s="13"/>
      <c r="C1720" s="13"/>
      <c r="D1720" s="13"/>
    </row>
    <row r="1721" spans="1:4" ht="12.75">
      <c r="A1721" s="15"/>
      <c r="B1721" s="13"/>
      <c r="C1721" s="13"/>
      <c r="D1721" s="13"/>
    </row>
    <row r="1722" spans="1:4" ht="12.75">
      <c r="A1722" s="15"/>
      <c r="B1722" s="13"/>
      <c r="C1722" s="13"/>
      <c r="D1722" s="13"/>
    </row>
    <row r="1723" spans="1:4" ht="12.75">
      <c r="A1723" s="15"/>
      <c r="B1723" s="13"/>
      <c r="C1723" s="13"/>
      <c r="D1723" s="13"/>
    </row>
    <row r="1724" spans="1:4" ht="12.75">
      <c r="A1724" s="15"/>
      <c r="B1724" s="13"/>
      <c r="C1724" s="13"/>
      <c r="D1724" s="13"/>
    </row>
    <row r="1725" spans="1:4" ht="12.75">
      <c r="A1725" s="15"/>
      <c r="B1725" s="13"/>
      <c r="C1725" s="13"/>
      <c r="D1725" s="13"/>
    </row>
    <row r="1726" spans="1:4" ht="12.75">
      <c r="A1726" s="15"/>
      <c r="B1726" s="13"/>
      <c r="C1726" s="13"/>
      <c r="D1726" s="13"/>
    </row>
    <row r="1727" spans="1:4" ht="12.75">
      <c r="A1727" s="15"/>
      <c r="B1727" s="13"/>
      <c r="C1727" s="13"/>
      <c r="D1727" s="13"/>
    </row>
    <row r="1728" spans="1:4" ht="12.75">
      <c r="A1728" s="15"/>
      <c r="B1728" s="13"/>
      <c r="C1728" s="13"/>
      <c r="D1728" s="13"/>
    </row>
    <row r="1729" spans="1:4" ht="12.75">
      <c r="A1729" s="15"/>
      <c r="B1729" s="13"/>
      <c r="C1729" s="13"/>
      <c r="D1729" s="13"/>
    </row>
    <row r="1730" spans="1:4" ht="12.75">
      <c r="A1730" s="15"/>
      <c r="B1730" s="13"/>
      <c r="C1730" s="13"/>
      <c r="D1730" s="13"/>
    </row>
    <row r="1731" spans="1:4" ht="12.75">
      <c r="A1731" s="15"/>
      <c r="B1731" s="13"/>
      <c r="C1731" s="13"/>
      <c r="D1731" s="13"/>
    </row>
    <row r="1732" spans="1:4" ht="12.75">
      <c r="A1732" s="15"/>
      <c r="B1732" s="13"/>
      <c r="C1732" s="13"/>
      <c r="D1732" s="13"/>
    </row>
    <row r="1733" spans="1:4" ht="12.75">
      <c r="A1733" s="15"/>
      <c r="B1733" s="13"/>
      <c r="C1733" s="13"/>
      <c r="D1733" s="13"/>
    </row>
    <row r="1734" spans="1:4" ht="12.75">
      <c r="A1734" s="15"/>
      <c r="B1734" s="13"/>
      <c r="C1734" s="13"/>
      <c r="D1734" s="13"/>
    </row>
    <row r="1735" spans="1:4" ht="12.75">
      <c r="A1735" s="15"/>
      <c r="B1735" s="13"/>
      <c r="C1735" s="13"/>
      <c r="D1735" s="13"/>
    </row>
    <row r="1736" spans="1:4" ht="12.75">
      <c r="A1736" s="15"/>
      <c r="B1736" s="13"/>
      <c r="C1736" s="13"/>
      <c r="D1736" s="13"/>
    </row>
    <row r="1737" spans="1:4" ht="12.75">
      <c r="A1737" s="15"/>
      <c r="B1737" s="13"/>
      <c r="C1737" s="13"/>
      <c r="D1737" s="13"/>
    </row>
    <row r="1738" spans="1:4" ht="12.75">
      <c r="A1738" s="15"/>
      <c r="B1738" s="13"/>
      <c r="C1738" s="13"/>
      <c r="D1738" s="13"/>
    </row>
    <row r="1739" spans="1:4" ht="12.75">
      <c r="A1739" s="15"/>
      <c r="B1739" s="13"/>
      <c r="C1739" s="13"/>
      <c r="D1739" s="13"/>
    </row>
    <row r="1740" spans="1:4" ht="12.75">
      <c r="A1740" s="15"/>
      <c r="B1740" s="13"/>
      <c r="C1740" s="13"/>
      <c r="D1740" s="13"/>
    </row>
    <row r="1741" spans="1:4" ht="12.75">
      <c r="A1741" s="15"/>
      <c r="B1741" s="13"/>
      <c r="C1741" s="13"/>
      <c r="D1741" s="13"/>
    </row>
    <row r="1742" spans="1:4" ht="12.75">
      <c r="A1742" s="15"/>
      <c r="B1742" s="13"/>
      <c r="C1742" s="13"/>
      <c r="D1742" s="13"/>
    </row>
    <row r="1743" spans="1:4" ht="12.75">
      <c r="A1743" s="15"/>
      <c r="B1743" s="13"/>
      <c r="C1743" s="13"/>
      <c r="D1743" s="13"/>
    </row>
    <row r="1744" spans="1:4" ht="12.75">
      <c r="A1744" s="15"/>
      <c r="B1744" s="13"/>
      <c r="C1744" s="13"/>
      <c r="D1744" s="13"/>
    </row>
    <row r="1745" spans="1:4" ht="12.75">
      <c r="A1745" s="15"/>
      <c r="B1745" s="13"/>
      <c r="C1745" s="13"/>
      <c r="D1745" s="13"/>
    </row>
    <row r="1746" spans="1:4" ht="12.75">
      <c r="A1746" s="15"/>
      <c r="B1746" s="13"/>
      <c r="C1746" s="13"/>
      <c r="D1746" s="13"/>
    </row>
    <row r="1747" spans="1:4" ht="12.75">
      <c r="A1747" s="15"/>
      <c r="B1747" s="13"/>
      <c r="C1747" s="13"/>
      <c r="D1747" s="13"/>
    </row>
    <row r="1748" spans="1:4" ht="12.75">
      <c r="A1748" s="15"/>
      <c r="B1748" s="13"/>
      <c r="C1748" s="13"/>
      <c r="D1748" s="13"/>
    </row>
    <row r="1749" spans="1:4" ht="12.75">
      <c r="A1749" s="15"/>
      <c r="B1749" s="13"/>
      <c r="C1749" s="13"/>
      <c r="D1749" s="13"/>
    </row>
    <row r="1750" spans="1:4" ht="12.75">
      <c r="A1750" s="15"/>
      <c r="B1750" s="13"/>
      <c r="C1750" s="13"/>
      <c r="D1750" s="13"/>
    </row>
    <row r="1751" spans="1:4" ht="12.75">
      <c r="A1751" s="15"/>
      <c r="B1751" s="13"/>
      <c r="C1751" s="13"/>
      <c r="D1751" s="13"/>
    </row>
    <row r="1752" spans="1:4" ht="12.75">
      <c r="A1752" s="15"/>
      <c r="B1752" s="13"/>
      <c r="C1752" s="13"/>
      <c r="D1752" s="13"/>
    </row>
    <row r="1753" spans="1:4" ht="12.75">
      <c r="A1753" s="15"/>
      <c r="B1753" s="13"/>
      <c r="C1753" s="13"/>
      <c r="D1753" s="13"/>
    </row>
    <row r="1754" spans="1:4" ht="12.75">
      <c r="A1754" s="15"/>
      <c r="B1754" s="13"/>
      <c r="C1754" s="13"/>
      <c r="D1754" s="13"/>
    </row>
    <row r="1755" spans="1:4" ht="12.75">
      <c r="A1755" s="15"/>
      <c r="B1755" s="13"/>
      <c r="C1755" s="13"/>
      <c r="D1755" s="13"/>
    </row>
    <row r="1756" spans="1:4" ht="12.75">
      <c r="A1756" s="15"/>
      <c r="B1756" s="13"/>
      <c r="C1756" s="13"/>
      <c r="D1756" s="13"/>
    </row>
    <row r="1757" spans="1:4" ht="12.75">
      <c r="A1757" s="15"/>
      <c r="B1757" s="13"/>
      <c r="C1757" s="13"/>
      <c r="D1757" s="13"/>
    </row>
    <row r="1758" spans="1:4" ht="12.75">
      <c r="A1758" s="15"/>
      <c r="B1758" s="13"/>
      <c r="C1758" s="13"/>
      <c r="D1758" s="13"/>
    </row>
    <row r="1759" spans="1:4" ht="12.75">
      <c r="A1759" s="15"/>
      <c r="B1759" s="13"/>
      <c r="C1759" s="13"/>
      <c r="D1759" s="13"/>
    </row>
    <row r="1760" spans="1:4" ht="12.75">
      <c r="A1760" s="15"/>
      <c r="B1760" s="13"/>
      <c r="C1760" s="13"/>
      <c r="D1760" s="13"/>
    </row>
    <row r="1761" spans="1:4" ht="12.75">
      <c r="A1761" s="15"/>
      <c r="B1761" s="13"/>
      <c r="C1761" s="13"/>
      <c r="D1761" s="13"/>
    </row>
    <row r="1762" spans="1:4" ht="12.75">
      <c r="A1762" s="15"/>
      <c r="B1762" s="13"/>
      <c r="C1762" s="13"/>
      <c r="D1762" s="13"/>
    </row>
    <row r="1763" spans="1:4" ht="12.75">
      <c r="A1763" s="15"/>
      <c r="B1763" s="13"/>
      <c r="C1763" s="13"/>
      <c r="D1763" s="13"/>
    </row>
    <row r="1764" spans="1:4" ht="12.75">
      <c r="A1764" s="15"/>
      <c r="B1764" s="13"/>
      <c r="C1764" s="13"/>
      <c r="D1764" s="13"/>
    </row>
    <row r="1765" spans="1:4" ht="12.75">
      <c r="A1765" s="15"/>
      <c r="B1765" s="13"/>
      <c r="C1765" s="13"/>
      <c r="D1765" s="13"/>
    </row>
    <row r="1766" spans="1:4" ht="12.75">
      <c r="A1766" s="15"/>
      <c r="B1766" s="13"/>
      <c r="C1766" s="13"/>
      <c r="D1766" s="13"/>
    </row>
    <row r="1767" spans="1:4" ht="12.75">
      <c r="A1767" s="15"/>
      <c r="B1767" s="13"/>
      <c r="C1767" s="13"/>
      <c r="D1767" s="13"/>
    </row>
    <row r="1768" spans="1:4" ht="12.75">
      <c r="A1768" s="15"/>
      <c r="B1768" s="13"/>
      <c r="C1768" s="13"/>
      <c r="D1768" s="13"/>
    </row>
    <row r="1769" spans="1:4" ht="12.75">
      <c r="A1769" s="15"/>
      <c r="B1769" s="13"/>
      <c r="C1769" s="13"/>
      <c r="D1769" s="13"/>
    </row>
    <row r="1770" spans="1:4" ht="12.75">
      <c r="A1770" s="15"/>
      <c r="B1770" s="13"/>
      <c r="C1770" s="13"/>
      <c r="D1770" s="13"/>
    </row>
    <row r="1771" spans="1:4" ht="12.75">
      <c r="A1771" s="15"/>
      <c r="B1771" s="13"/>
      <c r="C1771" s="13"/>
      <c r="D1771" s="13"/>
    </row>
    <row r="1772" spans="1:4" ht="12.75">
      <c r="A1772" s="15"/>
      <c r="B1772" s="13"/>
      <c r="C1772" s="13"/>
      <c r="D1772" s="13"/>
    </row>
    <row r="1773" spans="1:4" ht="12.75">
      <c r="A1773" s="15"/>
      <c r="B1773" s="13"/>
      <c r="C1773" s="13"/>
      <c r="D1773" s="13"/>
    </row>
    <row r="1774" spans="1:4" ht="12.75">
      <c r="A1774" s="15"/>
      <c r="B1774" s="13"/>
      <c r="C1774" s="13"/>
      <c r="D1774" s="13"/>
    </row>
    <row r="1775" spans="1:4" ht="12.75">
      <c r="A1775" s="15"/>
      <c r="B1775" s="13"/>
      <c r="C1775" s="13"/>
      <c r="D1775" s="13"/>
    </row>
    <row r="1776" spans="1:4" ht="12.75">
      <c r="A1776" s="15"/>
      <c r="B1776" s="13"/>
      <c r="C1776" s="13"/>
      <c r="D1776" s="13"/>
    </row>
    <row r="1777" spans="1:4" ht="12.75">
      <c r="A1777" s="15"/>
      <c r="B1777" s="13"/>
      <c r="C1777" s="13"/>
      <c r="D1777" s="13"/>
    </row>
    <row r="1778" spans="1:4" ht="12.75">
      <c r="A1778" s="15"/>
      <c r="B1778" s="13"/>
      <c r="C1778" s="13"/>
      <c r="D1778" s="13"/>
    </row>
    <row r="1779" spans="1:4" ht="12.75">
      <c r="A1779" s="15"/>
      <c r="B1779" s="13"/>
      <c r="C1779" s="13"/>
      <c r="D1779" s="13"/>
    </row>
    <row r="1780" spans="1:4" ht="12.75">
      <c r="A1780" s="15"/>
      <c r="B1780" s="13"/>
      <c r="C1780" s="13"/>
      <c r="D1780" s="13"/>
    </row>
    <row r="1781" spans="1:4" ht="12.75">
      <c r="A1781" s="15"/>
      <c r="B1781" s="13"/>
      <c r="C1781" s="13"/>
      <c r="D1781" s="13"/>
    </row>
    <row r="1782" spans="1:4" ht="12.75">
      <c r="A1782" s="15"/>
      <c r="B1782" s="13"/>
      <c r="C1782" s="13"/>
      <c r="D1782" s="13"/>
    </row>
    <row r="1783" spans="1:4" ht="12.75">
      <c r="A1783" s="15"/>
      <c r="B1783" s="13"/>
      <c r="C1783" s="13"/>
      <c r="D1783" s="13"/>
    </row>
    <row r="1784" spans="1:4" ht="12.75">
      <c r="A1784" s="15"/>
      <c r="B1784" s="13"/>
      <c r="C1784" s="13"/>
      <c r="D1784" s="13"/>
    </row>
    <row r="1785" spans="1:4" ht="12.75">
      <c r="A1785" s="15"/>
      <c r="B1785" s="13"/>
      <c r="C1785" s="13"/>
      <c r="D1785" s="13"/>
    </row>
    <row r="1786" spans="1:4" ht="12.75">
      <c r="A1786" s="15"/>
      <c r="B1786" s="13"/>
      <c r="C1786" s="13"/>
      <c r="D1786" s="13"/>
    </row>
    <row r="1787" spans="1:4" ht="12.75">
      <c r="A1787" s="15"/>
      <c r="B1787" s="13"/>
      <c r="C1787" s="13"/>
      <c r="D1787" s="13"/>
    </row>
    <row r="1788" spans="1:4" ht="12.75">
      <c r="A1788" s="15"/>
      <c r="B1788" s="13"/>
      <c r="C1788" s="13"/>
      <c r="D1788" s="13"/>
    </row>
    <row r="1789" spans="1:4" ht="12.75">
      <c r="A1789" s="15"/>
      <c r="B1789" s="13"/>
      <c r="C1789" s="13"/>
      <c r="D1789" s="13"/>
    </row>
    <row r="1790" spans="1:4" ht="12.75">
      <c r="A1790" s="15"/>
      <c r="B1790" s="13"/>
      <c r="C1790" s="13"/>
      <c r="D1790" s="13"/>
    </row>
    <row r="1791" spans="1:4" ht="12.75">
      <c r="A1791" s="15"/>
      <c r="B1791" s="13"/>
      <c r="C1791" s="13"/>
      <c r="D1791" s="13"/>
    </row>
    <row r="1792" spans="1:4" ht="12.75">
      <c r="A1792" s="15"/>
      <c r="B1792" s="13"/>
      <c r="C1792" s="13"/>
      <c r="D1792" s="13"/>
    </row>
    <row r="1793" spans="1:4" ht="12.75">
      <c r="A1793" s="15"/>
      <c r="B1793" s="13"/>
      <c r="C1793" s="13"/>
      <c r="D1793" s="13"/>
    </row>
    <row r="1794" spans="1:4" ht="12.75">
      <c r="A1794" s="15"/>
      <c r="B1794" s="13"/>
      <c r="C1794" s="13"/>
      <c r="D1794" s="13"/>
    </row>
    <row r="1795" spans="1:4" ht="12.75">
      <c r="A1795" s="15"/>
      <c r="B1795" s="13"/>
      <c r="C1795" s="13"/>
      <c r="D1795" s="13"/>
    </row>
    <row r="1796" spans="1:4" ht="12.75">
      <c r="A1796" s="15"/>
      <c r="B1796" s="13"/>
      <c r="C1796" s="13"/>
      <c r="D1796" s="13"/>
    </row>
    <row r="1797" spans="1:4" ht="12.75">
      <c r="A1797" s="15"/>
      <c r="B1797" s="13"/>
      <c r="C1797" s="13"/>
      <c r="D1797" s="13"/>
    </row>
    <row r="1798" spans="1:4" ht="12.75">
      <c r="A1798" s="15"/>
      <c r="B1798" s="13"/>
      <c r="C1798" s="13"/>
      <c r="D1798" s="13"/>
    </row>
    <row r="1799" spans="1:4" ht="12.75">
      <c r="A1799" s="15"/>
      <c r="B1799" s="13"/>
      <c r="C1799" s="13"/>
      <c r="D1799" s="13"/>
    </row>
    <row r="1800" spans="1:4" ht="12.75">
      <c r="A1800" s="15"/>
      <c r="B1800" s="13"/>
      <c r="C1800" s="13"/>
      <c r="D1800" s="13"/>
    </row>
    <row r="1801" spans="1:4" ht="12.75">
      <c r="A1801" s="15"/>
      <c r="B1801" s="13"/>
      <c r="C1801" s="13"/>
      <c r="D1801" s="13"/>
    </row>
    <row r="1802" spans="1:4" ht="12.75">
      <c r="A1802" s="15"/>
      <c r="B1802" s="13"/>
      <c r="C1802" s="13"/>
      <c r="D1802" s="13"/>
    </row>
    <row r="1803" spans="1:4" ht="12.75">
      <c r="A1803" s="15"/>
      <c r="B1803" s="13"/>
      <c r="C1803" s="13"/>
      <c r="D1803" s="13"/>
    </row>
    <row r="1804" spans="1:4" ht="12.75">
      <c r="A1804" s="15"/>
      <c r="B1804" s="13"/>
      <c r="C1804" s="13"/>
      <c r="D1804" s="13"/>
    </row>
    <row r="1805" spans="1:4" ht="12.75">
      <c r="A1805" s="15"/>
      <c r="B1805" s="13"/>
      <c r="C1805" s="13"/>
      <c r="D1805" s="13"/>
    </row>
    <row r="1806" spans="1:4" ht="12.75">
      <c r="A1806" s="15"/>
      <c r="B1806" s="13"/>
      <c r="C1806" s="13"/>
      <c r="D1806" s="13"/>
    </row>
    <row r="1807" spans="1:4" ht="12.75">
      <c r="A1807" s="15"/>
      <c r="B1807" s="13"/>
      <c r="C1807" s="13"/>
      <c r="D1807" s="13"/>
    </row>
    <row r="1808" spans="1:4" ht="12.75">
      <c r="A1808" s="15"/>
      <c r="B1808" s="13"/>
      <c r="C1808" s="13"/>
      <c r="D1808" s="13"/>
    </row>
    <row r="1809" spans="1:4" ht="12.75">
      <c r="A1809" s="15"/>
      <c r="B1809" s="13"/>
      <c r="C1809" s="13"/>
      <c r="D1809" s="13"/>
    </row>
    <row r="1810" spans="1:4" ht="12.75">
      <c r="A1810" s="15"/>
      <c r="B1810" s="13"/>
      <c r="C1810" s="13"/>
      <c r="D1810" s="13"/>
    </row>
    <row r="1811" spans="1:4" ht="12.75">
      <c r="A1811" s="15"/>
      <c r="B1811" s="13"/>
      <c r="C1811" s="13"/>
      <c r="D1811" s="13"/>
    </row>
    <row r="1812" spans="1:4" ht="12.75">
      <c r="A1812" s="15"/>
      <c r="B1812" s="13"/>
      <c r="C1812" s="13"/>
      <c r="D1812" s="13"/>
    </row>
    <row r="1813" spans="1:4" ht="12.75">
      <c r="A1813" s="15"/>
      <c r="B1813" s="13"/>
      <c r="C1813" s="13"/>
      <c r="D1813" s="13"/>
    </row>
    <row r="1814" spans="1:4" ht="12.75">
      <c r="A1814" s="15"/>
      <c r="B1814" s="13"/>
      <c r="C1814" s="13"/>
      <c r="D1814" s="13"/>
    </row>
    <row r="1815" spans="1:4" ht="12.75">
      <c r="A1815" s="15"/>
      <c r="B1815" s="13"/>
      <c r="C1815" s="13"/>
      <c r="D1815" s="13"/>
    </row>
    <row r="1816" spans="1:4" ht="12.75">
      <c r="A1816" s="15"/>
      <c r="B1816" s="13"/>
      <c r="C1816" s="13"/>
      <c r="D1816" s="13"/>
    </row>
    <row r="1817" spans="1:4" ht="12.75">
      <c r="A1817" s="15"/>
      <c r="B1817" s="13"/>
      <c r="C1817" s="13"/>
      <c r="D1817" s="13"/>
    </row>
    <row r="1818" spans="1:4" ht="12.75">
      <c r="A1818" s="15"/>
      <c r="B1818" s="13"/>
      <c r="C1818" s="13"/>
      <c r="D1818" s="13"/>
    </row>
    <row r="1819" spans="1:4" ht="12.75">
      <c r="A1819" s="15"/>
      <c r="B1819" s="13"/>
      <c r="C1819" s="13"/>
      <c r="D1819" s="13"/>
    </row>
    <row r="1820" spans="1:4" ht="12.75">
      <c r="A1820" s="15"/>
      <c r="B1820" s="13"/>
      <c r="C1820" s="13"/>
      <c r="D1820" s="13"/>
    </row>
    <row r="1821" spans="1:4" ht="12.75">
      <c r="A1821" s="15"/>
      <c r="B1821" s="13"/>
      <c r="C1821" s="13"/>
      <c r="D1821" s="13"/>
    </row>
    <row r="1822" spans="1:4" ht="12.75">
      <c r="A1822" s="15"/>
      <c r="B1822" s="13"/>
      <c r="C1822" s="13"/>
      <c r="D1822" s="13"/>
    </row>
    <row r="1823" spans="1:4" ht="12.75">
      <c r="A1823" s="15"/>
      <c r="B1823" s="13"/>
      <c r="C1823" s="13"/>
      <c r="D1823" s="13"/>
    </row>
    <row r="1824" spans="1:4" ht="12.75">
      <c r="A1824" s="15"/>
      <c r="B1824" s="13"/>
      <c r="C1824" s="13"/>
      <c r="D1824" s="13"/>
    </row>
    <row r="1825" spans="1:4" ht="12.75">
      <c r="A1825" s="15"/>
      <c r="B1825" s="13"/>
      <c r="C1825" s="13"/>
      <c r="D1825" s="13"/>
    </row>
    <row r="1826" spans="1:4" ht="12.75">
      <c r="A1826" s="15"/>
      <c r="B1826" s="13"/>
      <c r="C1826" s="13"/>
      <c r="D1826" s="13"/>
    </row>
    <row r="1827" spans="1:4" ht="12.75">
      <c r="A1827" s="15"/>
      <c r="B1827" s="13"/>
      <c r="C1827" s="13"/>
      <c r="D1827" s="13"/>
    </row>
    <row r="1828" spans="1:4" ht="12.75">
      <c r="A1828" s="15"/>
      <c r="B1828" s="13"/>
      <c r="C1828" s="13"/>
      <c r="D1828" s="13"/>
    </row>
    <row r="1829" spans="1:4" ht="12.75">
      <c r="A1829" s="15"/>
      <c r="B1829" s="13"/>
      <c r="C1829" s="13"/>
      <c r="D1829" s="13"/>
    </row>
    <row r="1830" spans="1:4" ht="12.75">
      <c r="A1830" s="15"/>
      <c r="B1830" s="13"/>
      <c r="C1830" s="13"/>
      <c r="D1830" s="13"/>
    </row>
    <row r="1831" spans="1:4" ht="12.75">
      <c r="A1831" s="15"/>
      <c r="B1831" s="13"/>
      <c r="C1831" s="13"/>
      <c r="D1831" s="13"/>
    </row>
    <row r="1832" spans="1:4" ht="12.75">
      <c r="A1832" s="15"/>
      <c r="B1832" s="13"/>
      <c r="C1832" s="13"/>
      <c r="D1832" s="13"/>
    </row>
    <row r="1833" spans="1:4" ht="12.75">
      <c r="A1833" s="15"/>
      <c r="B1833" s="13"/>
      <c r="C1833" s="13"/>
      <c r="D1833" s="13"/>
    </row>
    <row r="1834" spans="1:4" ht="12.75">
      <c r="A1834" s="15"/>
      <c r="B1834" s="13"/>
      <c r="C1834" s="13"/>
      <c r="D1834" s="13"/>
    </row>
    <row r="1835" spans="1:4" ht="12.75">
      <c r="A1835" s="15"/>
      <c r="B1835" s="13"/>
      <c r="C1835" s="13"/>
      <c r="D1835" s="13"/>
    </row>
    <row r="1836" spans="1:4" ht="12.75">
      <c r="A1836" s="15"/>
      <c r="B1836" s="13"/>
      <c r="C1836" s="13"/>
      <c r="D1836" s="13"/>
    </row>
    <row r="1837" spans="1:4" ht="12.75">
      <c r="A1837" s="15"/>
      <c r="B1837" s="13"/>
      <c r="C1837" s="13"/>
      <c r="D1837" s="13"/>
    </row>
    <row r="1838" spans="1:4" ht="12.75">
      <c r="A1838" s="15"/>
      <c r="B1838" s="13"/>
      <c r="C1838" s="13"/>
      <c r="D1838" s="13"/>
    </row>
    <row r="1839" spans="1:4" ht="12.75">
      <c r="A1839" s="15"/>
      <c r="B1839" s="13"/>
      <c r="C1839" s="13"/>
      <c r="D1839" s="13"/>
    </row>
    <row r="1840" spans="1:4" ht="12.75">
      <c r="A1840" s="15"/>
      <c r="B1840" s="13"/>
      <c r="C1840" s="13"/>
      <c r="D1840" s="13"/>
    </row>
    <row r="1841" spans="1:4" ht="12.75">
      <c r="A1841" s="15"/>
      <c r="B1841" s="13"/>
      <c r="C1841" s="13"/>
      <c r="D1841" s="13"/>
    </row>
    <row r="1842" spans="1:4" ht="12.75">
      <c r="A1842" s="15"/>
      <c r="B1842" s="13"/>
      <c r="C1842" s="13"/>
      <c r="D1842" s="13"/>
    </row>
    <row r="1843" spans="1:4" ht="12.75">
      <c r="A1843" s="15"/>
      <c r="B1843" s="13"/>
      <c r="C1843" s="13"/>
      <c r="D1843" s="13"/>
    </row>
    <row r="1844" spans="1:4" ht="12.75">
      <c r="A1844" s="15"/>
      <c r="B1844" s="13"/>
      <c r="C1844" s="13"/>
      <c r="D1844" s="13"/>
    </row>
    <row r="1845" spans="1:4" ht="12.75">
      <c r="A1845" s="15"/>
      <c r="B1845" s="13"/>
      <c r="C1845" s="13"/>
      <c r="D1845" s="13"/>
    </row>
    <row r="1846" spans="1:4" ht="12.75">
      <c r="A1846" s="15"/>
      <c r="B1846" s="13"/>
      <c r="C1846" s="13"/>
      <c r="D1846" s="13"/>
    </row>
    <row r="1847" spans="1:4" ht="12.75">
      <c r="A1847" s="15"/>
      <c r="B1847" s="13"/>
      <c r="C1847" s="13"/>
      <c r="D1847" s="13"/>
    </row>
    <row r="1848" spans="1:4" ht="12.75">
      <c r="A1848" s="15"/>
      <c r="B1848" s="13"/>
      <c r="C1848" s="13"/>
      <c r="D1848" s="13"/>
    </row>
    <row r="1849" spans="1:4" ht="12.75">
      <c r="A1849" s="15"/>
      <c r="B1849" s="13"/>
      <c r="C1849" s="13"/>
      <c r="D1849" s="13"/>
    </row>
    <row r="1850" spans="1:4" ht="12.75">
      <c r="A1850" s="15"/>
      <c r="B1850" s="13"/>
      <c r="C1850" s="13"/>
      <c r="D1850" s="13"/>
    </row>
    <row r="1851" spans="1:4" ht="12.75">
      <c r="A1851" s="15"/>
      <c r="B1851" s="13"/>
      <c r="C1851" s="13"/>
      <c r="D1851" s="13"/>
    </row>
    <row r="1852" spans="1:4" ht="12.75">
      <c r="A1852" s="15"/>
      <c r="B1852" s="13"/>
      <c r="C1852" s="13"/>
      <c r="D1852" s="13"/>
    </row>
    <row r="1853" spans="1:4" ht="12.75">
      <c r="A1853" s="15"/>
      <c r="B1853" s="13"/>
      <c r="C1853" s="13"/>
      <c r="D1853" s="13"/>
    </row>
    <row r="1854" spans="1:4" ht="12.75">
      <c r="A1854" s="15"/>
      <c r="B1854" s="13"/>
      <c r="C1854" s="13"/>
      <c r="D1854" s="13"/>
    </row>
    <row r="1855" spans="1:4" ht="12.75">
      <c r="A1855" s="15"/>
      <c r="B1855" s="13"/>
      <c r="C1855" s="13"/>
      <c r="D1855" s="13"/>
    </row>
    <row r="1856" spans="1:4" ht="12.75">
      <c r="A1856" s="15"/>
      <c r="B1856" s="13"/>
      <c r="C1856" s="13"/>
      <c r="D1856" s="13"/>
    </row>
    <row r="1857" spans="1:4" ht="12.75">
      <c r="A1857" s="15"/>
      <c r="B1857" s="13"/>
      <c r="C1857" s="13"/>
      <c r="D1857" s="13"/>
    </row>
    <row r="1858" spans="1:4" ht="12.75">
      <c r="A1858" s="15"/>
      <c r="B1858" s="13"/>
      <c r="C1858" s="13"/>
      <c r="D1858" s="13"/>
    </row>
    <row r="1859" spans="1:4" ht="12.75">
      <c r="A1859" s="15"/>
      <c r="B1859" s="13"/>
      <c r="C1859" s="13"/>
      <c r="D1859" s="13"/>
    </row>
    <row r="1860" spans="1:4" ht="12.75">
      <c r="A1860" s="15"/>
      <c r="B1860" s="13"/>
      <c r="C1860" s="13"/>
      <c r="D1860" s="13"/>
    </row>
    <row r="1861" spans="1:4" ht="12.75">
      <c r="A1861" s="15"/>
      <c r="B1861" s="13"/>
      <c r="C1861" s="13"/>
      <c r="D1861" s="13"/>
    </row>
    <row r="1862" spans="1:4" ht="12.75">
      <c r="A1862" s="15"/>
      <c r="B1862" s="13"/>
      <c r="C1862" s="13"/>
      <c r="D1862" s="13"/>
    </row>
    <row r="1863" spans="1:4" ht="12.75">
      <c r="A1863" s="15"/>
      <c r="B1863" s="13"/>
      <c r="C1863" s="13"/>
      <c r="D1863" s="13"/>
    </row>
    <row r="1864" spans="1:4" ht="12.75">
      <c r="A1864" s="15"/>
      <c r="B1864" s="13"/>
      <c r="C1864" s="13"/>
      <c r="D1864" s="13"/>
    </row>
    <row r="1865" spans="1:4" ht="12.75">
      <c r="A1865" s="15"/>
      <c r="B1865" s="13"/>
      <c r="C1865" s="13"/>
      <c r="D1865" s="13"/>
    </row>
    <row r="1866" spans="1:4" ht="12.75">
      <c r="A1866" s="15"/>
      <c r="B1866" s="13"/>
      <c r="C1866" s="13"/>
      <c r="D1866" s="13"/>
    </row>
    <row r="1867" spans="1:4" ht="12.75">
      <c r="A1867" s="15"/>
      <c r="B1867" s="13"/>
      <c r="C1867" s="13"/>
      <c r="D1867" s="13"/>
    </row>
    <row r="1868" spans="1:4" ht="12.75">
      <c r="A1868" s="15"/>
      <c r="B1868" s="13"/>
      <c r="C1868" s="13"/>
      <c r="D1868" s="13"/>
    </row>
    <row r="1869" spans="1:4" ht="12.75">
      <c r="A1869" s="15"/>
      <c r="B1869" s="13"/>
      <c r="C1869" s="13"/>
      <c r="D1869" s="13"/>
    </row>
    <row r="1870" spans="1:4" ht="12.75">
      <c r="A1870" s="15"/>
      <c r="B1870" s="13"/>
      <c r="C1870" s="13"/>
      <c r="D1870" s="13"/>
    </row>
    <row r="1871" spans="1:4" ht="12.75">
      <c r="A1871" s="15"/>
      <c r="B1871" s="13"/>
      <c r="C1871" s="13"/>
      <c r="D1871" s="13"/>
    </row>
    <row r="1872" spans="1:4" ht="12.75">
      <c r="A1872" s="15"/>
      <c r="B1872" s="13"/>
      <c r="C1872" s="13"/>
      <c r="D1872" s="13"/>
    </row>
    <row r="1873" spans="1:4" ht="12.75">
      <c r="A1873" s="15"/>
      <c r="B1873" s="13"/>
      <c r="C1873" s="13"/>
      <c r="D1873" s="13"/>
    </row>
    <row r="1874" spans="1:4" ht="12.75">
      <c r="A1874" s="15"/>
      <c r="B1874" s="13"/>
      <c r="C1874" s="13"/>
      <c r="D1874" s="13"/>
    </row>
    <row r="1875" spans="1:4" ht="12.75">
      <c r="A1875" s="15"/>
      <c r="B1875" s="13"/>
      <c r="C1875" s="13"/>
      <c r="D1875" s="13"/>
    </row>
    <row r="1876" spans="1:4" ht="12.75">
      <c r="A1876" s="15"/>
      <c r="B1876" s="13"/>
      <c r="C1876" s="13"/>
      <c r="D1876" s="13"/>
    </row>
    <row r="1877" spans="1:4" ht="12.75">
      <c r="A1877" s="15"/>
      <c r="B1877" s="13"/>
      <c r="C1877" s="13"/>
      <c r="D1877" s="13"/>
    </row>
    <row r="1878" spans="1:4" ht="12.75">
      <c r="A1878" s="15"/>
      <c r="B1878" s="13"/>
      <c r="C1878" s="13"/>
      <c r="D1878" s="13"/>
    </row>
    <row r="1879" spans="1:4" ht="12.75">
      <c r="A1879" s="15"/>
      <c r="B1879" s="13"/>
      <c r="C1879" s="13"/>
      <c r="D1879" s="13"/>
    </row>
    <row r="1880" spans="1:4" ht="12.75">
      <c r="A1880" s="15"/>
      <c r="B1880" s="13"/>
      <c r="C1880" s="13"/>
      <c r="D1880" s="13"/>
    </row>
    <row r="1881" spans="1:4" ht="12.75">
      <c r="A1881" s="15"/>
      <c r="B1881" s="13"/>
      <c r="C1881" s="13"/>
      <c r="D1881" s="13"/>
    </row>
    <row r="1882" spans="1:4" ht="12.75">
      <c r="A1882" s="15"/>
      <c r="B1882" s="13"/>
      <c r="C1882" s="13"/>
      <c r="D1882" s="13"/>
    </row>
    <row r="1883" spans="1:4" ht="12.75">
      <c r="A1883" s="15"/>
      <c r="B1883" s="13"/>
      <c r="C1883" s="13"/>
      <c r="D1883" s="13"/>
    </row>
    <row r="1884" spans="1:4" ht="12.75">
      <c r="A1884" s="15"/>
      <c r="B1884" s="13"/>
      <c r="C1884" s="13"/>
      <c r="D1884" s="13"/>
    </row>
    <row r="1885" spans="1:4" ht="12.75">
      <c r="A1885" s="15"/>
      <c r="B1885" s="13"/>
      <c r="C1885" s="13"/>
      <c r="D1885" s="13"/>
    </row>
    <row r="1886" spans="1:4" ht="12.75">
      <c r="A1886" s="15"/>
      <c r="B1886" s="13"/>
      <c r="C1886" s="13"/>
      <c r="D1886" s="13"/>
    </row>
    <row r="1887" spans="1:4" ht="12.75">
      <c r="A1887" s="15"/>
      <c r="B1887" s="13"/>
      <c r="C1887" s="13"/>
      <c r="D1887" s="13"/>
    </row>
    <row r="1888" spans="1:4" ht="12.75">
      <c r="A1888" s="15"/>
      <c r="B1888" s="13"/>
      <c r="C1888" s="13"/>
      <c r="D1888" s="13"/>
    </row>
    <row r="1889" spans="1:4" ht="12.75">
      <c r="A1889" s="15"/>
      <c r="B1889" s="13"/>
      <c r="C1889" s="13"/>
      <c r="D1889" s="13"/>
    </row>
    <row r="1890" spans="1:4" ht="12.75">
      <c r="A1890" s="15"/>
      <c r="B1890" s="13"/>
      <c r="C1890" s="13"/>
      <c r="D1890" s="13"/>
    </row>
    <row r="1891" spans="1:4" ht="12.75">
      <c r="A1891" s="15"/>
      <c r="B1891" s="13"/>
      <c r="C1891" s="13"/>
      <c r="D1891" s="13"/>
    </row>
    <row r="1892" spans="1:4" ht="12.75">
      <c r="A1892" s="15"/>
      <c r="B1892" s="13"/>
      <c r="C1892" s="13"/>
      <c r="D1892" s="13"/>
    </row>
    <row r="1893" spans="1:4" ht="12.75">
      <c r="A1893" s="15"/>
      <c r="B1893" s="13"/>
      <c r="C1893" s="13"/>
      <c r="D1893" s="13"/>
    </row>
    <row r="1894" spans="1:4" ht="12.75">
      <c r="A1894" s="15"/>
      <c r="B1894" s="13"/>
      <c r="C1894" s="13"/>
      <c r="D1894" s="13"/>
    </row>
    <row r="1895" spans="1:4" ht="12.75">
      <c r="A1895" s="15"/>
      <c r="B1895" s="13"/>
      <c r="C1895" s="13"/>
      <c r="D1895" s="13"/>
    </row>
    <row r="1896" spans="1:4" ht="12.75">
      <c r="A1896" s="15"/>
      <c r="B1896" s="13"/>
      <c r="C1896" s="13"/>
      <c r="D1896" s="13"/>
    </row>
    <row r="1897" spans="1:4" ht="12.75">
      <c r="A1897" s="15"/>
      <c r="B1897" s="13"/>
      <c r="C1897" s="13"/>
      <c r="D1897" s="13"/>
    </row>
    <row r="1898" spans="1:4" ht="12.75">
      <c r="A1898" s="15"/>
      <c r="B1898" s="13"/>
      <c r="C1898" s="13"/>
      <c r="D1898" s="13"/>
    </row>
    <row r="1899" spans="1:4" ht="12.75">
      <c r="A1899" s="15"/>
      <c r="B1899" s="13"/>
      <c r="C1899" s="13"/>
      <c r="D1899" s="13"/>
    </row>
    <row r="1900" spans="1:4" ht="12.75">
      <c r="A1900" s="15"/>
      <c r="B1900" s="13"/>
      <c r="C1900" s="13"/>
      <c r="D1900" s="13"/>
    </row>
    <row r="1901" spans="1:4" ht="12.75">
      <c r="A1901" s="15"/>
      <c r="B1901" s="13"/>
      <c r="C1901" s="13"/>
      <c r="D1901" s="13"/>
    </row>
    <row r="1902" spans="1:4" ht="12.75">
      <c r="A1902" s="15"/>
      <c r="B1902" s="13"/>
      <c r="C1902" s="13"/>
      <c r="D1902" s="13"/>
    </row>
    <row r="1903" spans="1:4" ht="12.75">
      <c r="A1903" s="15"/>
      <c r="B1903" s="13"/>
      <c r="C1903" s="13"/>
      <c r="D1903" s="13"/>
    </row>
    <row r="1904" spans="1:4" ht="12.75">
      <c r="A1904" s="15"/>
      <c r="B1904" s="13"/>
      <c r="C1904" s="13"/>
      <c r="D1904" s="13"/>
    </row>
    <row r="1905" spans="1:4" ht="12.75">
      <c r="A1905" s="15"/>
      <c r="B1905" s="13"/>
      <c r="C1905" s="13"/>
      <c r="D1905" s="13"/>
    </row>
    <row r="1906" spans="1:4" ht="12.75">
      <c r="A1906" s="15"/>
      <c r="B1906" s="13"/>
      <c r="C1906" s="13"/>
      <c r="D1906" s="13"/>
    </row>
    <row r="1907" spans="1:4" ht="12.75">
      <c r="A1907" s="15"/>
      <c r="B1907" s="13"/>
      <c r="C1907" s="13"/>
      <c r="D1907" s="13"/>
    </row>
    <row r="1908" spans="1:4" ht="12.75">
      <c r="A1908" s="15"/>
      <c r="B1908" s="13"/>
      <c r="C1908" s="13"/>
      <c r="D1908" s="13"/>
    </row>
    <row r="1909" spans="1:4" ht="12.75">
      <c r="A1909" s="15"/>
      <c r="B1909" s="13"/>
      <c r="C1909" s="13"/>
      <c r="D1909" s="13"/>
    </row>
    <row r="1910" spans="1:4" ht="12.75">
      <c r="A1910" s="15"/>
      <c r="B1910" s="13"/>
      <c r="C1910" s="13"/>
      <c r="D1910" s="13"/>
    </row>
    <row r="1911" spans="1:4" ht="12.75">
      <c r="A1911" s="15"/>
      <c r="B1911" s="13"/>
      <c r="C1911" s="13"/>
      <c r="D1911" s="13"/>
    </row>
    <row r="1912" spans="1:4" ht="12.75">
      <c r="A1912" s="15"/>
      <c r="B1912" s="13"/>
      <c r="C1912" s="13"/>
      <c r="D1912" s="13"/>
    </row>
    <row r="1913" spans="1:4" ht="12.75">
      <c r="A1913" s="15"/>
      <c r="B1913" s="13"/>
      <c r="C1913" s="13"/>
      <c r="D1913" s="13"/>
    </row>
    <row r="1914" spans="1:4" ht="12.75">
      <c r="A1914" s="15"/>
      <c r="B1914" s="13"/>
      <c r="C1914" s="13"/>
      <c r="D1914" s="13"/>
    </row>
    <row r="1915" spans="1:4" ht="12.75">
      <c r="A1915" s="15"/>
      <c r="B1915" s="13"/>
      <c r="C1915" s="13"/>
      <c r="D1915" s="13"/>
    </row>
    <row r="1916" spans="1:4" ht="12.75">
      <c r="A1916" s="15"/>
      <c r="B1916" s="13"/>
      <c r="C1916" s="13"/>
      <c r="D1916" s="13"/>
    </row>
    <row r="1917" spans="1:4" ht="12.75">
      <c r="A1917" s="15"/>
      <c r="B1917" s="13"/>
      <c r="C1917" s="13"/>
      <c r="D1917" s="13"/>
    </row>
    <row r="1918" spans="1:4" ht="12.75">
      <c r="A1918" s="15"/>
      <c r="B1918" s="13"/>
      <c r="C1918" s="13"/>
      <c r="D1918" s="13"/>
    </row>
    <row r="1919" spans="1:4" ht="12.75">
      <c r="A1919" s="15"/>
      <c r="B1919" s="13"/>
      <c r="C1919" s="13"/>
      <c r="D1919" s="13"/>
    </row>
    <row r="1920" spans="1:4" ht="12.75">
      <c r="A1920" s="15"/>
      <c r="B1920" s="13"/>
      <c r="C1920" s="13"/>
      <c r="D1920" s="13"/>
    </row>
    <row r="1921" spans="1:4" ht="12.75">
      <c r="A1921" s="15"/>
      <c r="B1921" s="13"/>
      <c r="C1921" s="13"/>
      <c r="D1921" s="13"/>
    </row>
    <row r="1922" spans="1:4" ht="12.75">
      <c r="A1922" s="15"/>
      <c r="B1922" s="13"/>
      <c r="C1922" s="13"/>
      <c r="D1922" s="13"/>
    </row>
    <row r="1923" spans="1:4" ht="12.75">
      <c r="A1923" s="15"/>
      <c r="B1923" s="13"/>
      <c r="C1923" s="13"/>
      <c r="D1923" s="13"/>
    </row>
    <row r="1924" spans="1:4" ht="12.75">
      <c r="A1924" s="15"/>
      <c r="B1924" s="13"/>
      <c r="C1924" s="13"/>
      <c r="D1924" s="13"/>
    </row>
    <row r="1925" spans="1:4" ht="12.75">
      <c r="A1925" s="15"/>
      <c r="B1925" s="13"/>
      <c r="C1925" s="13"/>
      <c r="D1925" s="13"/>
    </row>
    <row r="1926" spans="1:4" ht="12.75">
      <c r="A1926" s="15"/>
      <c r="B1926" s="13"/>
      <c r="C1926" s="13"/>
      <c r="D1926" s="13"/>
    </row>
    <row r="1927" spans="1:4" ht="12.75">
      <c r="A1927" s="15"/>
      <c r="B1927" s="13"/>
      <c r="C1927" s="13"/>
      <c r="D1927" s="13"/>
    </row>
    <row r="1928" spans="1:4" ht="12.75">
      <c r="A1928" s="15"/>
      <c r="B1928" s="13"/>
      <c r="C1928" s="13"/>
      <c r="D1928" s="13"/>
    </row>
    <row r="1929" spans="1:4" ht="12.75">
      <c r="A1929" s="15"/>
      <c r="B1929" s="13"/>
      <c r="C1929" s="13"/>
      <c r="D1929" s="13"/>
    </row>
    <row r="1930" spans="1:4" ht="12.75">
      <c r="A1930" s="15"/>
      <c r="B1930" s="13"/>
      <c r="C1930" s="13"/>
      <c r="D1930" s="13"/>
    </row>
    <row r="1931" spans="1:4" ht="12.75">
      <c r="A1931" s="15"/>
      <c r="B1931" s="13"/>
      <c r="C1931" s="13"/>
      <c r="D1931" s="13"/>
    </row>
    <row r="1932" spans="1:4" ht="12.75">
      <c r="A1932" s="15"/>
      <c r="B1932" s="13"/>
      <c r="C1932" s="13"/>
      <c r="D1932" s="13"/>
    </row>
    <row r="1933" spans="1:4" ht="12.75">
      <c r="A1933" s="15"/>
      <c r="B1933" s="13"/>
      <c r="C1933" s="13"/>
      <c r="D1933" s="13"/>
    </row>
    <row r="1934" spans="1:4" ht="12.75">
      <c r="A1934" s="15"/>
      <c r="B1934" s="13"/>
      <c r="C1934" s="13"/>
      <c r="D1934" s="13"/>
    </row>
    <row r="1935" spans="1:4" ht="12.75">
      <c r="A1935" s="15"/>
      <c r="B1935" s="13"/>
      <c r="C1935" s="13"/>
      <c r="D1935" s="13"/>
    </row>
    <row r="1936" spans="1:4" ht="12.75">
      <c r="A1936" s="15"/>
      <c r="B1936" s="13"/>
      <c r="C1936" s="13"/>
      <c r="D1936" s="13"/>
    </row>
    <row r="1937" spans="1:4" ht="12.75">
      <c r="A1937" s="15"/>
      <c r="B1937" s="13"/>
      <c r="C1937" s="13"/>
      <c r="D1937" s="13"/>
    </row>
    <row r="1938" spans="1:4" ht="12.75">
      <c r="A1938" s="15"/>
      <c r="B1938" s="13"/>
      <c r="C1938" s="13"/>
      <c r="D1938" s="13"/>
    </row>
    <row r="1939" spans="1:4" ht="12.75">
      <c r="A1939" s="15"/>
      <c r="B1939" s="13"/>
      <c r="C1939" s="13"/>
      <c r="D1939" s="13"/>
    </row>
    <row r="1940" spans="1:4" ht="12.75">
      <c r="A1940" s="15"/>
      <c r="B1940" s="13"/>
      <c r="C1940" s="13"/>
      <c r="D1940" s="13"/>
    </row>
    <row r="1941" spans="1:4" ht="12.75">
      <c r="A1941" s="15"/>
      <c r="B1941" s="13"/>
      <c r="C1941" s="13"/>
      <c r="D1941" s="13"/>
    </row>
    <row r="1942" spans="1:4" ht="12.75">
      <c r="A1942" s="15"/>
      <c r="B1942" s="13"/>
      <c r="C1942" s="13"/>
      <c r="D1942" s="13"/>
    </row>
    <row r="1943" spans="1:4" ht="12.75">
      <c r="A1943" s="15"/>
      <c r="B1943" s="13"/>
      <c r="C1943" s="13"/>
      <c r="D1943" s="13"/>
    </row>
    <row r="1944" spans="1:4" ht="12.75">
      <c r="A1944" s="15"/>
      <c r="B1944" s="13"/>
      <c r="C1944" s="13"/>
      <c r="D1944" s="13"/>
    </row>
    <row r="1945" spans="1:4" ht="12.75">
      <c r="A1945" s="15"/>
      <c r="B1945" s="13"/>
      <c r="C1945" s="13"/>
      <c r="D1945" s="13"/>
    </row>
    <row r="1946" spans="1:4" ht="12.75">
      <c r="A1946" s="15"/>
      <c r="B1946" s="13"/>
      <c r="C1946" s="13"/>
      <c r="D1946" s="13"/>
    </row>
    <row r="1947" spans="1:4" ht="12.75">
      <c r="A1947" s="15"/>
      <c r="B1947" s="13"/>
      <c r="C1947" s="13"/>
      <c r="D1947" s="13"/>
    </row>
    <row r="1948" spans="1:4" ht="12.75">
      <c r="A1948" s="15"/>
      <c r="B1948" s="13"/>
      <c r="C1948" s="13"/>
      <c r="D1948" s="13"/>
    </row>
    <row r="1949" spans="1:4" ht="12.75">
      <c r="A1949" s="15"/>
      <c r="B1949" s="13"/>
      <c r="C1949" s="13"/>
      <c r="D1949" s="13"/>
    </row>
    <row r="1950" spans="1:4" ht="12.75">
      <c r="A1950" s="15"/>
      <c r="B1950" s="13"/>
      <c r="C1950" s="13"/>
      <c r="D1950" s="13"/>
    </row>
    <row r="1951" spans="1:4" ht="12.75">
      <c r="A1951" s="15"/>
      <c r="B1951" s="13"/>
      <c r="C1951" s="13"/>
      <c r="D1951" s="13"/>
    </row>
    <row r="1952" spans="1:4" ht="12.75">
      <c r="A1952" s="15"/>
      <c r="B1952" s="13"/>
      <c r="C1952" s="13"/>
      <c r="D1952" s="13"/>
    </row>
    <row r="1953" spans="1:4" ht="12.75">
      <c r="A1953" s="15"/>
      <c r="B1953" s="13"/>
      <c r="C1953" s="13"/>
      <c r="D1953" s="13"/>
    </row>
    <row r="1954" spans="1:4" ht="12.75">
      <c r="A1954" s="15"/>
      <c r="B1954" s="13"/>
      <c r="C1954" s="13"/>
      <c r="D1954" s="13"/>
    </row>
    <row r="1955" spans="1:4" ht="12.75">
      <c r="A1955" s="15"/>
      <c r="B1955" s="13"/>
      <c r="C1955" s="13"/>
      <c r="D1955" s="13"/>
    </row>
    <row r="1956" spans="1:4" ht="12.75">
      <c r="A1956" s="15"/>
      <c r="B1956" s="13"/>
      <c r="C1956" s="13"/>
      <c r="D1956" s="13"/>
    </row>
    <row r="1957" spans="1:4" ht="12.75">
      <c r="A1957" s="15"/>
      <c r="B1957" s="13"/>
      <c r="C1957" s="13"/>
      <c r="D1957" s="13"/>
    </row>
    <row r="1958" spans="1:4" ht="12.75">
      <c r="A1958" s="15"/>
      <c r="B1958" s="13"/>
      <c r="C1958" s="13"/>
      <c r="D1958" s="13"/>
    </row>
    <row r="1959" spans="1:4" ht="12.75">
      <c r="A1959" s="15"/>
      <c r="B1959" s="13"/>
      <c r="C1959" s="13"/>
      <c r="D1959" s="13"/>
    </row>
    <row r="1960" spans="1:4" ht="12.75">
      <c r="A1960" s="15"/>
      <c r="B1960" s="13"/>
      <c r="C1960" s="13"/>
      <c r="D1960" s="13"/>
    </row>
    <row r="1961" spans="1:4" ht="12.75">
      <c r="A1961" s="15"/>
      <c r="B1961" s="13"/>
      <c r="C1961" s="13"/>
      <c r="D1961" s="13"/>
    </row>
    <row r="1962" spans="1:4" ht="12.75">
      <c r="A1962" s="15"/>
      <c r="B1962" s="13"/>
      <c r="C1962" s="13"/>
      <c r="D1962" s="13"/>
    </row>
    <row r="1963" spans="1:4" ht="12.75">
      <c r="A1963" s="15"/>
      <c r="B1963" s="13"/>
      <c r="C1963" s="13"/>
      <c r="D1963" s="13"/>
    </row>
    <row r="1964" spans="1:4" ht="12.75">
      <c r="A1964" s="15"/>
      <c r="B1964" s="13"/>
      <c r="C1964" s="13"/>
      <c r="D1964" s="13"/>
    </row>
    <row r="1965" spans="1:4" ht="12.75">
      <c r="A1965" s="15"/>
      <c r="B1965" s="13"/>
      <c r="C1965" s="13"/>
      <c r="D1965" s="13"/>
    </row>
    <row r="1966" spans="1:4" ht="12.75">
      <c r="A1966" s="15"/>
      <c r="B1966" s="13"/>
      <c r="C1966" s="13"/>
      <c r="D1966" s="13"/>
    </row>
    <row r="1967" spans="1:4" ht="12.75">
      <c r="A1967" s="15"/>
      <c r="B1967" s="13"/>
      <c r="C1967" s="13"/>
      <c r="D1967" s="13"/>
    </row>
    <row r="1968" spans="1:4" ht="12.75">
      <c r="A1968" s="15"/>
      <c r="B1968" s="13"/>
      <c r="C1968" s="13"/>
      <c r="D1968" s="13"/>
    </row>
    <row r="1969" spans="1:4" ht="12.75">
      <c r="A1969" s="15"/>
      <c r="B1969" s="13"/>
      <c r="C1969" s="13"/>
      <c r="D1969" s="13"/>
    </row>
    <row r="1970" spans="1:4" ht="12.75">
      <c r="A1970" s="15"/>
      <c r="B1970" s="13"/>
      <c r="C1970" s="13"/>
      <c r="D1970" s="13"/>
    </row>
    <row r="1971" spans="1:4" ht="12.75">
      <c r="A1971" s="15"/>
      <c r="B1971" s="13"/>
      <c r="C1971" s="13"/>
      <c r="D1971" s="13"/>
    </row>
    <row r="1972" spans="1:4" ht="12.75">
      <c r="A1972" s="15"/>
      <c r="B1972" s="13"/>
      <c r="C1972" s="13"/>
      <c r="D1972" s="13"/>
    </row>
    <row r="1973" spans="1:4" ht="12.75">
      <c r="A1973" s="15"/>
      <c r="B1973" s="13"/>
      <c r="C1973" s="13"/>
      <c r="D1973" s="13"/>
    </row>
    <row r="1974" spans="1:4" ht="12.75">
      <c r="A1974" s="15"/>
      <c r="B1974" s="13"/>
      <c r="C1974" s="13"/>
      <c r="D1974" s="13"/>
    </row>
    <row r="1975" spans="1:4" ht="12.75">
      <c r="A1975" s="15"/>
      <c r="B1975" s="13"/>
      <c r="C1975" s="13"/>
      <c r="D1975" s="13"/>
    </row>
    <row r="1976" spans="1:4" ht="12.75">
      <c r="A1976" s="15"/>
      <c r="B1976" s="13"/>
      <c r="C1976" s="13"/>
      <c r="D1976" s="13"/>
    </row>
    <row r="1977" spans="1:4" ht="12.75">
      <c r="A1977" s="15"/>
      <c r="B1977" s="13"/>
      <c r="C1977" s="13"/>
      <c r="D1977" s="13"/>
    </row>
    <row r="1978" spans="1:4" ht="12.75">
      <c r="A1978" s="15"/>
      <c r="B1978" s="13"/>
      <c r="C1978" s="13"/>
      <c r="D1978" s="13"/>
    </row>
    <row r="1979" spans="1:4" ht="12.75">
      <c r="A1979" s="15"/>
      <c r="B1979" s="13"/>
      <c r="C1979" s="13"/>
      <c r="D1979" s="13"/>
    </row>
    <row r="1980" spans="1:4" ht="12.75">
      <c r="A1980" s="15"/>
      <c r="B1980" s="13"/>
      <c r="C1980" s="13"/>
      <c r="D1980" s="13"/>
    </row>
    <row r="1981" spans="1:4" ht="12.75">
      <c r="A1981" s="15"/>
      <c r="B1981" s="13"/>
      <c r="C1981" s="13"/>
      <c r="D1981" s="13"/>
    </row>
    <row r="1982" spans="1:4" ht="12.75">
      <c r="A1982" s="15"/>
      <c r="B1982" s="13"/>
      <c r="C1982" s="13"/>
      <c r="D1982" s="13"/>
    </row>
    <row r="1983" spans="1:4" ht="12.75">
      <c r="A1983" s="15"/>
      <c r="B1983" s="13"/>
      <c r="C1983" s="13"/>
      <c r="D1983" s="13"/>
    </row>
    <row r="1984" spans="1:4" ht="12.75">
      <c r="A1984" s="15"/>
      <c r="B1984" s="13"/>
      <c r="C1984" s="13"/>
      <c r="D1984" s="13"/>
    </row>
    <row r="1985" spans="1:4" ht="12.75">
      <c r="A1985" s="15"/>
      <c r="B1985" s="13"/>
      <c r="C1985" s="13"/>
      <c r="D1985" s="13"/>
    </row>
    <row r="1986" spans="1:4" ht="12.75">
      <c r="A1986" s="15"/>
      <c r="B1986" s="13"/>
      <c r="C1986" s="13"/>
      <c r="D1986" s="13"/>
    </row>
    <row r="1987" spans="1:4" ht="12.75">
      <c r="A1987" s="15"/>
      <c r="B1987" s="13"/>
      <c r="C1987" s="13"/>
      <c r="D1987" s="13"/>
    </row>
    <row r="1988" spans="1:4" ht="12.75">
      <c r="A1988" s="15"/>
      <c r="B1988" s="13"/>
      <c r="C1988" s="13"/>
      <c r="D1988" s="13"/>
    </row>
    <row r="1989" spans="1:4" ht="12.75">
      <c r="A1989" s="15"/>
      <c r="B1989" s="13"/>
      <c r="C1989" s="13"/>
      <c r="D1989" s="13"/>
    </row>
    <row r="1990" spans="1:4" ht="12.75">
      <c r="A1990" s="15"/>
      <c r="B1990" s="13"/>
      <c r="C1990" s="13"/>
      <c r="D1990" s="13"/>
    </row>
    <row r="1991" spans="1:4" ht="12.75">
      <c r="A1991" s="15"/>
      <c r="B1991" s="13"/>
      <c r="C1991" s="13"/>
      <c r="D1991" s="13"/>
    </row>
    <row r="1992" spans="1:4" ht="12.75">
      <c r="A1992" s="15"/>
      <c r="B1992" s="13"/>
      <c r="C1992" s="13"/>
      <c r="D1992" s="13"/>
    </row>
    <row r="1993" spans="1:4" ht="12.75">
      <c r="A1993" s="15"/>
      <c r="B1993" s="13"/>
      <c r="C1993" s="13"/>
      <c r="D1993" s="13"/>
    </row>
    <row r="1994" spans="1:4" ht="12.75">
      <c r="A1994" s="15"/>
      <c r="B1994" s="13"/>
      <c r="C1994" s="13"/>
      <c r="D1994" s="13"/>
    </row>
    <row r="1995" spans="1:4" ht="12.75">
      <c r="A1995" s="15"/>
      <c r="B1995" s="13"/>
      <c r="C1995" s="13"/>
      <c r="D1995" s="13"/>
    </row>
    <row r="1996" spans="1:4" ht="12.75">
      <c r="A1996" s="15"/>
      <c r="B1996" s="13"/>
      <c r="C1996" s="13"/>
      <c r="D1996" s="13"/>
    </row>
    <row r="1997" spans="1:4" ht="12.75">
      <c r="A1997" s="15"/>
      <c r="B1997" s="13"/>
      <c r="C1997" s="13"/>
      <c r="D1997" s="13"/>
    </row>
    <row r="1998" spans="1:4" ht="12.75">
      <c r="A1998" s="15"/>
      <c r="B1998" s="13"/>
      <c r="C1998" s="13"/>
      <c r="D1998" s="13"/>
    </row>
    <row r="1999" spans="1:4" ht="12.75">
      <c r="A1999" s="15"/>
      <c r="B1999" s="13"/>
      <c r="C1999" s="13"/>
      <c r="D1999" s="13"/>
    </row>
    <row r="2000" spans="1:4" ht="12.75">
      <c r="A2000" s="15"/>
      <c r="B2000" s="13"/>
      <c r="C2000" s="13"/>
      <c r="D2000" s="13"/>
    </row>
    <row r="2001" spans="1:4" ht="12.75">
      <c r="A2001" s="15"/>
      <c r="B2001" s="13"/>
      <c r="C2001" s="13"/>
      <c r="D2001" s="13"/>
    </row>
    <row r="2002" spans="1:4" ht="12.75">
      <c r="A2002" s="15"/>
      <c r="B2002" s="13"/>
      <c r="C2002" s="13"/>
      <c r="D2002" s="13"/>
    </row>
    <row r="2003" spans="1:4" ht="12.75">
      <c r="A2003" s="15"/>
      <c r="B2003" s="13"/>
      <c r="C2003" s="13"/>
      <c r="D2003" s="13"/>
    </row>
    <row r="2004" spans="1:4" ht="12.75">
      <c r="A2004" s="15"/>
      <c r="B2004" s="13"/>
      <c r="C2004" s="13"/>
      <c r="D2004" s="13"/>
    </row>
    <row r="2005" spans="1:4" ht="12.75">
      <c r="A2005" s="15"/>
      <c r="B2005" s="13"/>
      <c r="C2005" s="13"/>
      <c r="D2005" s="13"/>
    </row>
    <row r="2006" spans="1:4" ht="12.75">
      <c r="A2006" s="15"/>
      <c r="B2006" s="13"/>
      <c r="C2006" s="13"/>
      <c r="D2006" s="13"/>
    </row>
    <row r="2007" spans="1:4" ht="12.75">
      <c r="A2007" s="15"/>
      <c r="B2007" s="13"/>
      <c r="C2007" s="13"/>
      <c r="D2007" s="13"/>
    </row>
    <row r="2008" spans="1:4" ht="12.75">
      <c r="A2008" s="15"/>
      <c r="B2008" s="13"/>
      <c r="C2008" s="13"/>
      <c r="D2008" s="13"/>
    </row>
    <row r="2009" spans="1:4" ht="12.75">
      <c r="A2009" s="15"/>
      <c r="B2009" s="13"/>
      <c r="C2009" s="13"/>
      <c r="D2009" s="13"/>
    </row>
    <row r="2010" spans="1:4" ht="12.75">
      <c r="A2010" s="15"/>
      <c r="B2010" s="13"/>
      <c r="C2010" s="13"/>
      <c r="D2010" s="13"/>
    </row>
    <row r="2011" spans="1:4" ht="12.75">
      <c r="A2011" s="15"/>
      <c r="B2011" s="13"/>
      <c r="C2011" s="13"/>
      <c r="D2011" s="13"/>
    </row>
    <row r="2012" spans="1:4" ht="12.75">
      <c r="A2012" s="15"/>
      <c r="B2012" s="13"/>
      <c r="C2012" s="13"/>
      <c r="D2012" s="13"/>
    </row>
    <row r="2013" spans="1:4" ht="12.75">
      <c r="A2013" s="15"/>
      <c r="B2013" s="13"/>
      <c r="C2013" s="13"/>
      <c r="D2013" s="13"/>
    </row>
    <row r="2014" spans="1:4" ht="12.75">
      <c r="A2014" s="15"/>
      <c r="B2014" s="13"/>
      <c r="C2014" s="13"/>
      <c r="D2014" s="13"/>
    </row>
    <row r="2015" spans="1:4" ht="12.75">
      <c r="A2015" s="15"/>
      <c r="B2015" s="13"/>
      <c r="C2015" s="13"/>
      <c r="D2015" s="13"/>
    </row>
    <row r="2016" spans="1:4" ht="12.75">
      <c r="A2016" s="15"/>
      <c r="B2016" s="13"/>
      <c r="C2016" s="13"/>
      <c r="D2016" s="13"/>
    </row>
    <row r="2017" spans="1:4" ht="12.75">
      <c r="A2017" s="15"/>
      <c r="B2017" s="13"/>
      <c r="C2017" s="13"/>
      <c r="D2017" s="13"/>
    </row>
    <row r="2018" spans="1:4" ht="12.75">
      <c r="A2018" s="15"/>
      <c r="B2018" s="13"/>
      <c r="C2018" s="13"/>
      <c r="D2018" s="13"/>
    </row>
    <row r="2019" spans="1:4" ht="12.75">
      <c r="A2019" s="15"/>
      <c r="B2019" s="13"/>
      <c r="C2019" s="13"/>
      <c r="D2019" s="13"/>
    </row>
    <row r="2020" spans="1:4" ht="12.75">
      <c r="A2020" s="15"/>
      <c r="B2020" s="13"/>
      <c r="C2020" s="13"/>
      <c r="D2020" s="13"/>
    </row>
    <row r="2021" spans="1:4" ht="12.75">
      <c r="A2021" s="15"/>
      <c r="B2021" s="13"/>
      <c r="C2021" s="13"/>
      <c r="D2021" s="13"/>
    </row>
    <row r="2022" spans="1:4" ht="12.75">
      <c r="A2022" s="15"/>
      <c r="B2022" s="13"/>
      <c r="C2022" s="13"/>
      <c r="D2022" s="13"/>
    </row>
    <row r="2023" spans="1:4" ht="12.75">
      <c r="A2023" s="15"/>
      <c r="B2023" s="13"/>
      <c r="C2023" s="13"/>
      <c r="D2023" s="13"/>
    </row>
    <row r="2024" spans="1:4" ht="12.75">
      <c r="A2024" s="15"/>
      <c r="B2024" s="13"/>
      <c r="C2024" s="13"/>
      <c r="D2024" s="13"/>
    </row>
    <row r="2025" spans="1:4" ht="12.75">
      <c r="A2025" s="15"/>
      <c r="B2025" s="13"/>
      <c r="C2025" s="13"/>
      <c r="D2025" s="13"/>
    </row>
    <row r="2026" spans="1:4" ht="12.75">
      <c r="A2026" s="15"/>
      <c r="B2026" s="13"/>
      <c r="C2026" s="13"/>
      <c r="D2026" s="13"/>
    </row>
    <row r="2027" spans="1:4" ht="12.75">
      <c r="A2027" s="15"/>
      <c r="B2027" s="13"/>
      <c r="C2027" s="13"/>
      <c r="D2027" s="13"/>
    </row>
    <row r="2028" spans="1:4" ht="12.75">
      <c r="A2028" s="15"/>
      <c r="B2028" s="13"/>
      <c r="C2028" s="13"/>
      <c r="D2028" s="13"/>
    </row>
    <row r="2029" spans="1:4" ht="12.75">
      <c r="A2029" s="15"/>
      <c r="B2029" s="13"/>
      <c r="C2029" s="13"/>
      <c r="D2029" s="13"/>
    </row>
    <row r="2030" spans="1:4" ht="12.75">
      <c r="A2030" s="15"/>
      <c r="B2030" s="13"/>
      <c r="C2030" s="13"/>
      <c r="D2030" s="13"/>
    </row>
    <row r="2031" spans="1:4" ht="12.75">
      <c r="A2031" s="15"/>
      <c r="B2031" s="13"/>
      <c r="C2031" s="13"/>
      <c r="D2031" s="13"/>
    </row>
    <row r="2032" spans="1:4" ht="12.75">
      <c r="A2032" s="15"/>
      <c r="B2032" s="13"/>
      <c r="C2032" s="13"/>
      <c r="D2032" s="13"/>
    </row>
    <row r="2033" spans="1:4" ht="12.75">
      <c r="A2033" s="15"/>
      <c r="B2033" s="13"/>
      <c r="C2033" s="13"/>
      <c r="D2033" s="13"/>
    </row>
    <row r="2034" spans="1:4" ht="12.75">
      <c r="A2034" s="15"/>
      <c r="B2034" s="13"/>
      <c r="C2034" s="13"/>
      <c r="D2034"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price_site_xls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Виталий</cp:lastModifiedBy>
  <dcterms:modified xsi:type="dcterms:W3CDTF">2024-04-15T11:11:12Z</dcterms:modified>
</cp:coreProperties>
</file>